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0/8 Económico-Financiero/"/>
    </mc:Choice>
  </mc:AlternateContent>
  <xr:revisionPtr revIDLastSave="12" documentId="8_{DE0A7123-B6B0-467C-9FAD-78549DE6A8FB}" xr6:coauthVersionLast="47" xr6:coauthVersionMax="47" xr10:uidLastSave="{CE4A8A3E-3CC8-4A97-B8A4-667A6A5B3C86}"/>
  <bookViews>
    <workbookView xWindow="-120" yWindow="-120" windowWidth="29040" windowHeight="15720" xr2:uid="{6D8391BB-A726-4277-A33B-E17E3AF2B723}"/>
  </bookViews>
  <sheets>
    <sheet name="presupuesto 2020" sheetId="1" r:id="rId1"/>
  </sheets>
  <definedNames>
    <definedName name="_xlnm.Print_Area" localSheetId="0">'presupuesto 2020'!$B$5:$L$157</definedName>
    <definedName name="_xlnm.Print_Titles" localSheetId="0">'presupuesto 2020'!$5:$9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3" i="1" l="1"/>
  <c r="L153" i="1" s="1"/>
  <c r="J151" i="1"/>
  <c r="I151" i="1"/>
  <c r="H151" i="1"/>
  <c r="G151" i="1"/>
  <c r="F151" i="1"/>
  <c r="E151" i="1"/>
  <c r="D151" i="1"/>
  <c r="C151" i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J142" i="1"/>
  <c r="I142" i="1"/>
  <c r="H142" i="1"/>
  <c r="G142" i="1"/>
  <c r="E142" i="1"/>
  <c r="D142" i="1"/>
  <c r="D155" i="1" s="1"/>
  <c r="C142" i="1"/>
  <c r="K141" i="1"/>
  <c r="L141" i="1" s="1"/>
  <c r="K140" i="1"/>
  <c r="L140" i="1" s="1"/>
  <c r="K139" i="1"/>
  <c r="L139" i="1" s="1"/>
  <c r="K138" i="1"/>
  <c r="K137" i="1"/>
  <c r="L137" i="1" s="1"/>
  <c r="C137" i="1"/>
  <c r="K136" i="1"/>
  <c r="L136" i="1" s="1"/>
  <c r="K135" i="1"/>
  <c r="L135" i="1" s="1"/>
  <c r="C135" i="1"/>
  <c r="K134" i="1"/>
  <c r="L134" i="1" s="1"/>
  <c r="K133" i="1"/>
  <c r="L133" i="1" s="1"/>
  <c r="K132" i="1"/>
  <c r="L132" i="1" s="1"/>
  <c r="K131" i="1"/>
  <c r="L131" i="1" s="1"/>
  <c r="K130" i="1"/>
  <c r="F130" i="1"/>
  <c r="F142" i="1" s="1"/>
  <c r="F155" i="1" s="1"/>
  <c r="J125" i="1"/>
  <c r="J127" i="1" s="1"/>
  <c r="G125" i="1"/>
  <c r="F125" i="1"/>
  <c r="F127" i="1" s="1"/>
  <c r="D125" i="1"/>
  <c r="K124" i="1"/>
  <c r="L124" i="1" s="1"/>
  <c r="H124" i="1"/>
  <c r="H125" i="1" s="1"/>
  <c r="L123" i="1"/>
  <c r="K123" i="1"/>
  <c r="I122" i="1"/>
  <c r="I125" i="1" s="1"/>
  <c r="H122" i="1"/>
  <c r="E122" i="1"/>
  <c r="E125" i="1" s="1"/>
  <c r="C125" i="1"/>
  <c r="K120" i="1"/>
  <c r="L120" i="1" s="1"/>
  <c r="K119" i="1"/>
  <c r="L116" i="1"/>
  <c r="K116" i="1"/>
  <c r="J116" i="1"/>
  <c r="I116" i="1"/>
  <c r="H116" i="1"/>
  <c r="G116" i="1"/>
  <c r="F116" i="1"/>
  <c r="E116" i="1"/>
  <c r="D116" i="1"/>
  <c r="C116" i="1"/>
  <c r="L107" i="1"/>
  <c r="K107" i="1"/>
  <c r="J107" i="1"/>
  <c r="I107" i="1"/>
  <c r="H107" i="1"/>
  <c r="G107" i="1"/>
  <c r="F107" i="1"/>
  <c r="E107" i="1"/>
  <c r="D107" i="1"/>
  <c r="C107" i="1"/>
  <c r="J103" i="1"/>
  <c r="I103" i="1"/>
  <c r="H103" i="1"/>
  <c r="G103" i="1"/>
  <c r="F103" i="1"/>
  <c r="E103" i="1"/>
  <c r="D103" i="1"/>
  <c r="C103" i="1"/>
  <c r="K102" i="1"/>
  <c r="L102" i="1" s="1"/>
  <c r="K101" i="1"/>
  <c r="J98" i="1"/>
  <c r="I98" i="1"/>
  <c r="H98" i="1"/>
  <c r="G98" i="1"/>
  <c r="F98" i="1"/>
  <c r="E98" i="1"/>
  <c r="D98" i="1"/>
  <c r="C98" i="1"/>
  <c r="K97" i="1"/>
  <c r="L97" i="1" s="1"/>
  <c r="K96" i="1"/>
  <c r="L96" i="1" s="1"/>
  <c r="I93" i="1"/>
  <c r="H93" i="1"/>
  <c r="G93" i="1"/>
  <c r="F93" i="1"/>
  <c r="E93" i="1"/>
  <c r="D93" i="1"/>
  <c r="C93" i="1"/>
  <c r="J92" i="1"/>
  <c r="J93" i="1" s="1"/>
  <c r="L91" i="1"/>
  <c r="K91" i="1"/>
  <c r="K90" i="1"/>
  <c r="L90" i="1" s="1"/>
  <c r="L89" i="1"/>
  <c r="K89" i="1"/>
  <c r="K88" i="1"/>
  <c r="L88" i="1" s="1"/>
  <c r="L87" i="1"/>
  <c r="K87" i="1"/>
  <c r="K86" i="1"/>
  <c r="L86" i="1" s="1"/>
  <c r="L85" i="1"/>
  <c r="K85" i="1"/>
  <c r="K84" i="1"/>
  <c r="L84" i="1" s="1"/>
  <c r="L83" i="1"/>
  <c r="K83" i="1"/>
  <c r="J80" i="1"/>
  <c r="I80" i="1"/>
  <c r="H80" i="1"/>
  <c r="G80" i="1"/>
  <c r="F80" i="1"/>
  <c r="E80" i="1"/>
  <c r="D80" i="1"/>
  <c r="C80" i="1"/>
  <c r="K79" i="1"/>
  <c r="L79" i="1" s="1"/>
  <c r="K78" i="1"/>
  <c r="K77" i="1"/>
  <c r="L77" i="1" s="1"/>
  <c r="K76" i="1"/>
  <c r="J73" i="1"/>
  <c r="I73" i="1"/>
  <c r="H73" i="1"/>
  <c r="G73" i="1"/>
  <c r="F73" i="1"/>
  <c r="E73" i="1"/>
  <c r="D73" i="1"/>
  <c r="C73" i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K60" i="1"/>
  <c r="J55" i="1"/>
  <c r="I55" i="1"/>
  <c r="H55" i="1"/>
  <c r="K55" i="1" s="1"/>
  <c r="G55" i="1"/>
  <c r="F55" i="1"/>
  <c r="E55" i="1"/>
  <c r="D55" i="1"/>
  <c r="C55" i="1"/>
  <c r="K54" i="1"/>
  <c r="K53" i="1"/>
  <c r="K52" i="1"/>
  <c r="K51" i="1"/>
  <c r="J49" i="1"/>
  <c r="I49" i="1"/>
  <c r="H49" i="1"/>
  <c r="G49" i="1"/>
  <c r="F49" i="1"/>
  <c r="D49" i="1"/>
  <c r="C49" i="1"/>
  <c r="K48" i="1"/>
  <c r="L48" i="1" s="1"/>
  <c r="J46" i="1"/>
  <c r="I46" i="1"/>
  <c r="H46" i="1"/>
  <c r="G46" i="1"/>
  <c r="F46" i="1"/>
  <c r="D46" i="1"/>
  <c r="C46" i="1"/>
  <c r="L45" i="1"/>
  <c r="K45" i="1"/>
  <c r="K46" i="1" s="1"/>
  <c r="L46" i="1" s="1"/>
  <c r="J43" i="1"/>
  <c r="I43" i="1"/>
  <c r="I57" i="1" s="1"/>
  <c r="H43" i="1"/>
  <c r="G43" i="1"/>
  <c r="F43" i="1"/>
  <c r="E43" i="1"/>
  <c r="D43" i="1"/>
  <c r="C43" i="1"/>
  <c r="K42" i="1"/>
  <c r="L42" i="1" s="1"/>
  <c r="K41" i="1"/>
  <c r="L41" i="1" s="1"/>
  <c r="K40" i="1"/>
  <c r="L40" i="1" s="1"/>
  <c r="H38" i="1"/>
  <c r="F38" i="1"/>
  <c r="E38" i="1"/>
  <c r="E57" i="1" s="1"/>
  <c r="D38" i="1"/>
  <c r="K37" i="1"/>
  <c r="L37" i="1" s="1"/>
  <c r="C37" i="1"/>
  <c r="C38" i="1" s="1"/>
  <c r="C5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K29" i="1"/>
  <c r="L29" i="1" s="1"/>
  <c r="J28" i="1"/>
  <c r="J38" i="1" s="1"/>
  <c r="I28" i="1"/>
  <c r="I38" i="1" s="1"/>
  <c r="G28" i="1"/>
  <c r="G38" i="1" s="1"/>
  <c r="G57" i="1" s="1"/>
  <c r="L27" i="1"/>
  <c r="K27" i="1"/>
  <c r="K26" i="1"/>
  <c r="K25" i="1"/>
  <c r="E25" i="1"/>
  <c r="J22" i="1"/>
  <c r="I22" i="1"/>
  <c r="H22" i="1"/>
  <c r="E22" i="1"/>
  <c r="D22" i="1"/>
  <c r="K21" i="1"/>
  <c r="L21" i="1" s="1"/>
  <c r="K20" i="1"/>
  <c r="L20" i="1" s="1"/>
  <c r="C20" i="1"/>
  <c r="K19" i="1"/>
  <c r="L19" i="1" s="1"/>
  <c r="K18" i="1"/>
  <c r="L18" i="1" s="1"/>
  <c r="L17" i="1"/>
  <c r="K17" i="1"/>
  <c r="G17" i="1"/>
  <c r="G22" i="1" s="1"/>
  <c r="E17" i="1"/>
  <c r="L16" i="1"/>
  <c r="K16" i="1"/>
  <c r="C16" i="1"/>
  <c r="K15" i="1"/>
  <c r="L15" i="1" s="1"/>
  <c r="K14" i="1"/>
  <c r="L14" i="1" s="1"/>
  <c r="C14" i="1"/>
  <c r="K13" i="1"/>
  <c r="L13" i="1" s="1"/>
  <c r="F13" i="1"/>
  <c r="F22" i="1" s="1"/>
  <c r="K12" i="1"/>
  <c r="L12" i="1" s="1"/>
  <c r="K125" i="1" l="1"/>
  <c r="L125" i="1" s="1"/>
  <c r="I127" i="1"/>
  <c r="K73" i="1"/>
  <c r="L73" i="1" s="1"/>
  <c r="K122" i="1"/>
  <c r="L122" i="1" s="1"/>
  <c r="C22" i="1"/>
  <c r="C105" i="1" s="1"/>
  <c r="C108" i="1" s="1"/>
  <c r="G105" i="1"/>
  <c r="G108" i="1" s="1"/>
  <c r="K92" i="1"/>
  <c r="K43" i="1"/>
  <c r="L43" i="1" s="1"/>
  <c r="K49" i="1"/>
  <c r="L49" i="1" s="1"/>
  <c r="I105" i="1"/>
  <c r="I108" i="1" s="1"/>
  <c r="I155" i="1" s="1"/>
  <c r="I157" i="1" s="1"/>
  <c r="C127" i="1"/>
  <c r="H127" i="1"/>
  <c r="L101" i="1"/>
  <c r="K103" i="1"/>
  <c r="L103" i="1" s="1"/>
  <c r="G127" i="1"/>
  <c r="E127" i="1"/>
  <c r="C155" i="1"/>
  <c r="L145" i="1"/>
  <c r="K151" i="1"/>
  <c r="L151" i="1" s="1"/>
  <c r="L76" i="1"/>
  <c r="K80" i="1"/>
  <c r="L80" i="1" s="1"/>
  <c r="E105" i="1"/>
  <c r="E108" i="1" s="1"/>
  <c r="F57" i="1"/>
  <c r="K98" i="1"/>
  <c r="L98" i="1" s="1"/>
  <c r="K22" i="1"/>
  <c r="H57" i="1"/>
  <c r="H105" i="1" s="1"/>
  <c r="H108" i="1" s="1"/>
  <c r="F105" i="1"/>
  <c r="F108" i="1" s="1"/>
  <c r="K28" i="1"/>
  <c r="L28" i="1" s="1"/>
  <c r="D57" i="1"/>
  <c r="D105" i="1" s="1"/>
  <c r="D108" i="1" s="1"/>
  <c r="K38" i="1"/>
  <c r="J57" i="1"/>
  <c r="J105" i="1" s="1"/>
  <c r="J108" i="1" s="1"/>
  <c r="K127" i="1"/>
  <c r="L127" i="1" s="1"/>
  <c r="L119" i="1"/>
  <c r="K142" i="1"/>
  <c r="L142" i="1" s="1"/>
  <c r="E46" i="1"/>
  <c r="E49" i="1" s="1"/>
  <c r="D127" i="1"/>
  <c r="F157" i="1"/>
  <c r="L130" i="1"/>
  <c r="K93" i="1" l="1"/>
  <c r="L93" i="1" s="1"/>
  <c r="J155" i="1"/>
  <c r="K108" i="1"/>
  <c r="L108" i="1" s="1"/>
  <c r="H155" i="1"/>
  <c r="H157" i="1" s="1"/>
  <c r="D157" i="1"/>
  <c r="C157" i="1"/>
  <c r="L22" i="1"/>
  <c r="G155" i="1"/>
  <c r="G157" i="1" s="1"/>
  <c r="F109" i="1"/>
  <c r="F110" i="1" s="1"/>
  <c r="K57" i="1"/>
  <c r="L57" i="1" s="1"/>
  <c r="L38" i="1"/>
  <c r="E157" i="1"/>
  <c r="I109" i="1"/>
  <c r="I110" i="1" s="1"/>
  <c r="K105" i="1" l="1"/>
  <c r="L105" i="1" s="1"/>
  <c r="H109" i="1"/>
  <c r="H110" i="1" s="1"/>
  <c r="K110" i="1" s="1"/>
  <c r="L110" i="1" s="1"/>
  <c r="D109" i="1"/>
  <c r="D110" i="1" s="1"/>
  <c r="E109" i="1"/>
  <c r="E110" i="1" s="1"/>
  <c r="G109" i="1"/>
  <c r="G110" i="1" s="1"/>
  <c r="C109" i="1"/>
  <c r="C110" i="1" s="1"/>
  <c r="K155" i="1"/>
  <c r="L155" i="1" s="1"/>
  <c r="J157" i="1"/>
  <c r="K157" i="1" l="1"/>
  <c r="J109" i="1"/>
  <c r="K109" i="1" l="1"/>
  <c r="L109" i="1" s="1"/>
  <c r="J110" i="1"/>
  <c r="L157" i="1"/>
</calcChain>
</file>

<file path=xl/sharedStrings.xml><?xml version="1.0" encoding="utf-8"?>
<sst xmlns="http://schemas.openxmlformats.org/spreadsheetml/2006/main" count="136" uniqueCount="133">
  <si>
    <t>PRESUPUESTO MARCO PARA 2020 DE SPET, TURISMO DE TENERIFE, S.A.</t>
  </si>
  <si>
    <t>PRESUPUESTO DE INGRESOS</t>
  </si>
  <si>
    <t>CONCEPTO</t>
  </si>
  <si>
    <t>PPTO INICIAL 2012</t>
  </si>
  <si>
    <t>PPTO INICIAL 2014</t>
  </si>
  <si>
    <t>PPTO INICIAL 2015</t>
  </si>
  <si>
    <t>PPTO INICIAL 2016</t>
  </si>
  <si>
    <t>PPTO INICIAL 2017</t>
  </si>
  <si>
    <t>PPTO INICIAL 2018</t>
  </si>
  <si>
    <t>PPTO INICIAL 2019</t>
  </si>
  <si>
    <t>PPTO INICIAL 2020</t>
  </si>
  <si>
    <t>VARIACIÓN €</t>
  </si>
  <si>
    <t>VAR. %</t>
  </si>
  <si>
    <t>INGRESOS DE ASOCIADOS</t>
  </si>
  <si>
    <t>Cuotas de asociados nivel general</t>
  </si>
  <si>
    <t>Tenerife Select</t>
  </si>
  <si>
    <t>Tenerife Convention Bureau</t>
  </si>
  <si>
    <t>Ingresos Tenerife Golf</t>
  </si>
  <si>
    <t>Tenerife Film Comission</t>
  </si>
  <si>
    <t>Tenerife No Limits</t>
  </si>
  <si>
    <t>Tenerife Investment Point</t>
  </si>
  <si>
    <t>Espacio publicitario en material</t>
  </si>
  <si>
    <t>Empresarios ferias y promociones</t>
  </si>
  <si>
    <t>Turismo Médico</t>
  </si>
  <si>
    <t>TOTAL INGRESOS ASOCIADOS</t>
  </si>
  <si>
    <t>INGRESOS CABILDO</t>
  </si>
  <si>
    <t>Aportación para Promoción</t>
  </si>
  <si>
    <t>Acciones con Líneas Aéreas</t>
  </si>
  <si>
    <t>Convenio con Ayuntamientos</t>
  </si>
  <si>
    <t>Acciones promocionales y de Conectividad</t>
  </si>
  <si>
    <t>Aportación Específica Cadena Dial</t>
  </si>
  <si>
    <t>Aportación Grandes Eventos</t>
  </si>
  <si>
    <t>Campaña YoSoyTenerife/Sensibilización a Población Local</t>
  </si>
  <si>
    <t>Aportación Específica Patrocinio Clubes Deportivos</t>
  </si>
  <si>
    <t>Desarrollo Plan Insular de Gastronomía</t>
  </si>
  <si>
    <t>Patrocinio Premios Quirino</t>
  </si>
  <si>
    <t>Informe Empleo Turístico</t>
  </si>
  <si>
    <t>Aportación Innovación</t>
  </si>
  <si>
    <t>Acciones Promoción Zonas Turísticas</t>
  </si>
  <si>
    <t>Aportación Promoción / Destino Turístico</t>
  </si>
  <si>
    <t>Encomienda Promoción Económica</t>
  </si>
  <si>
    <t>Proyecto Tenerife Licita</t>
  </si>
  <si>
    <t>Aportación Específica Why Tenerife</t>
  </si>
  <si>
    <t>Aportación Promoción Económica</t>
  </si>
  <si>
    <t>Aportación Promoción Equipos Deportivos</t>
  </si>
  <si>
    <t>Aportación Patrocinio Equipos</t>
  </si>
  <si>
    <t>Aportación Gastos de Funcionamiento</t>
  </si>
  <si>
    <t>Aportación Genérica</t>
  </si>
  <si>
    <t>Aportación Específica Festival Starmus</t>
  </si>
  <si>
    <t>Encomienda Convenio Regeneración del Destino</t>
  </si>
  <si>
    <t>Aportación Estudio Viabilidad Antiguo Hotel Taoro</t>
  </si>
  <si>
    <t>Encomienda Oficina Tenerife Sur</t>
  </si>
  <si>
    <t>Aportación Acciones Sin  Continuidad</t>
  </si>
  <si>
    <t>TOTAL INGRESOS CABILDO</t>
  </si>
  <si>
    <t>INGRESOS DE AYUNTAMIENTOS</t>
  </si>
  <si>
    <t>Fondo común de Promoción ( Ayto La Orotava)</t>
  </si>
  <si>
    <t>Fondo común de Promoción ( Ayto Los Realejos)</t>
  </si>
  <si>
    <t>Fondo común de Promoción (Arona)</t>
  </si>
  <si>
    <t>Fondo común de Promoción (Adeje)</t>
  </si>
  <si>
    <t>Fondo común de Promoción (Ayto San Miguel)</t>
  </si>
  <si>
    <t>Fondo común de Promoción (Ayto Santiago del Teide)</t>
  </si>
  <si>
    <t>Fondo común de Promoción (Ayto Granadilla)</t>
  </si>
  <si>
    <t>Fondo común de Promoción (Ayto Guía de Isora)</t>
  </si>
  <si>
    <t>Fondo común de Promoción (Ayto Arico)</t>
  </si>
  <si>
    <t>Fondo común de Promoción (Ayto. La Laguna)</t>
  </si>
  <si>
    <t>Fondo común de Promoción - Ayuntamiento del Puerto de la Cruz</t>
  </si>
  <si>
    <t>Fondo común de Promoción (Scdad. Desarrollo S/C)</t>
  </si>
  <si>
    <t>Acciones con Consorcio Puerto de la Cruz (Ayto P/C)</t>
  </si>
  <si>
    <t>TOTAL INGRESOS DE AYUNTAMIENTOS</t>
  </si>
  <si>
    <t>INGRESOS DEL GOBIERNO DE CANARIAS</t>
  </si>
  <si>
    <t>Promotur- Promoción Exterior</t>
  </si>
  <si>
    <t>Patrocinio IGTM 2015</t>
  </si>
  <si>
    <t>Subvención Promoción Económica</t>
  </si>
  <si>
    <t>Promotur - Stand ITB y WTM</t>
  </si>
  <si>
    <t>TOTAL INGRESOS DEL GOBIERNO DE CANARIAS</t>
  </si>
  <si>
    <t>OTROS INGRESOS PÚBLICOS</t>
  </si>
  <si>
    <t>Patrocinio IGTM Turespaña</t>
  </si>
  <si>
    <t>Proyecto UE Sky-Route</t>
  </si>
  <si>
    <t>Proyecto Drago</t>
  </si>
  <si>
    <t>Proyecto Connectafrica</t>
  </si>
  <si>
    <t>Proyecto Caminmac</t>
  </si>
  <si>
    <t>Red CIDE</t>
  </si>
  <si>
    <t>Proyecto Innovatur</t>
  </si>
  <si>
    <t>Proyecto Atlantic Netsky</t>
  </si>
  <si>
    <t>Proyecto Diomedea</t>
  </si>
  <si>
    <t>Consorcio Urbanístico Puerto de la Cruz</t>
  </si>
  <si>
    <t>TOTAL OTROS INGRESOS PÚBLICOS</t>
  </si>
  <si>
    <t>INGRESOS PRIVADOS</t>
  </si>
  <si>
    <t>Convenio Teleférico</t>
  </si>
  <si>
    <t>Asesoramiento Promoción Económica</t>
  </si>
  <si>
    <t>TOTAL INGRESOS PRIVADOS</t>
  </si>
  <si>
    <t>OTROS INGRESOS</t>
  </si>
  <si>
    <t>Ingresos financieros</t>
  </si>
  <si>
    <t>Subvenciones de capital</t>
  </si>
  <si>
    <t>TOTAL OTROS INGRESOS</t>
  </si>
  <si>
    <t>TOTAL INGRESOS</t>
  </si>
  <si>
    <t>PREVISIÓN DE RESULTADOS</t>
  </si>
  <si>
    <t>Presupuesto de ingresos</t>
  </si>
  <si>
    <t>Presupuesto de gastos</t>
  </si>
  <si>
    <t>Resultado</t>
  </si>
  <si>
    <t>PRESUPUESTO DE GASTOS</t>
  </si>
  <si>
    <t>GASTOS DE FUNCIONAMIENTO</t>
  </si>
  <si>
    <t>TOTAL GASTOS GENERALES</t>
  </si>
  <si>
    <t>DOTACIÓN AMORTIZACIÓN</t>
  </si>
  <si>
    <t>Sueldos y salarios</t>
  </si>
  <si>
    <t>Seguridad Social</t>
  </si>
  <si>
    <t>Productividad y tareas específicas</t>
  </si>
  <si>
    <t>TOTAL GASTOS DE PERSONAL</t>
  </si>
  <si>
    <t>FINANCIACIÓN AFECTA</t>
  </si>
  <si>
    <t>Why Tenerife</t>
  </si>
  <si>
    <t>Campaña Siento x Ciento</t>
  </si>
  <si>
    <t>Festival Starmus</t>
  </si>
  <si>
    <t>Patrocinio Cadena Dial</t>
  </si>
  <si>
    <t>Patrocinio Clubes Deportivos</t>
  </si>
  <si>
    <t>Dinamización de Zonas Turísticas</t>
  </si>
  <si>
    <t>Asociados</t>
  </si>
  <si>
    <t>Mejora</t>
  </si>
  <si>
    <t>Comercialización en Destino</t>
  </si>
  <si>
    <t>Estudio Hotel Taoro</t>
  </si>
  <si>
    <t>Innovación</t>
  </si>
  <si>
    <t>Creación y Dinamización</t>
  </si>
  <si>
    <t>TOTAL FINANCIACIÓN AFECTA</t>
  </si>
  <si>
    <t>FINANCIACIÓN NO AFECTA</t>
  </si>
  <si>
    <t>Conectividad</t>
  </si>
  <si>
    <t>Promoción</t>
  </si>
  <si>
    <t>Marcas (Select, TCB, Film, Golf y No Limits)</t>
  </si>
  <si>
    <t>Patrimonio Histórico</t>
  </si>
  <si>
    <t>Acciones comprometidas</t>
  </si>
  <si>
    <t>Acciones varias</t>
  </si>
  <si>
    <t>TOTAL FINANCIACIÓN NO AFECTA</t>
  </si>
  <si>
    <t>GASTOS PROMOCIÓN EQUIPOS DEPORTIVOS</t>
  </si>
  <si>
    <t>GASTOS DE EJECUCIÓN DE ACCIONES</t>
  </si>
  <si>
    <t>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</si>
</sst>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6"/>
      <color indexed="53"/>
      <name val="Frutiger LT 45 Light"/>
      <family val="2"/>
    </font>
    <font>
      <sz val="12"/>
      <color indexed="12"/>
      <name val="Frutiger LT 45 Light"/>
      <family val="2"/>
    </font>
    <font>
      <u/>
      <sz val="14"/>
      <color indexed="53"/>
      <name val="Frutiger LT 45 Light"/>
      <family val="2"/>
    </font>
    <font>
      <sz val="12"/>
      <color indexed="53"/>
      <name val="Frutiger LT 45 Light"/>
      <family val="2"/>
    </font>
    <font>
      <sz val="12"/>
      <color indexed="18"/>
      <name val="Frutiger LT 45 Light"/>
      <family val="2"/>
    </font>
    <font>
      <sz val="12"/>
      <color rgb="FF002060"/>
      <name val="Frutiger LT 45 Light"/>
      <family val="2"/>
    </font>
    <font>
      <sz val="12"/>
      <color rgb="FFFF0000"/>
      <name val="Frutiger LT 45 Light"/>
      <family val="2"/>
    </font>
    <font>
      <sz val="12"/>
      <color theme="3" tint="-0.249977111117893"/>
      <name val="Frutiger LT 45 Light"/>
      <family val="2"/>
    </font>
    <font>
      <u/>
      <sz val="12"/>
      <color indexed="9"/>
      <name val="Frutiger LT 45 Light"/>
      <family val="2"/>
    </font>
    <font>
      <sz val="12"/>
      <color indexed="9"/>
      <name val="Frutiger LT 45 Light"/>
      <family val="2"/>
    </font>
    <font>
      <u/>
      <sz val="12"/>
      <color indexed="12"/>
      <name val="Frutiger LT 45 Light"/>
      <family val="2"/>
    </font>
    <font>
      <sz val="12"/>
      <color theme="0"/>
      <name val="Frutiger LT 45 Light"/>
      <family val="2"/>
    </font>
    <font>
      <sz val="12"/>
      <color theme="2" tint="-0.749992370372631"/>
      <name val="Frutiger LT 45 Light"/>
      <family val="2"/>
    </font>
    <font>
      <sz val="12"/>
      <color indexed="52"/>
      <name val="Frutiger LT 45 Light"/>
      <family val="2"/>
    </font>
    <font>
      <sz val="12"/>
      <color rgb="FF0000FF"/>
      <name val="Frutiger LT 45 Light"/>
      <family val="2"/>
    </font>
    <font>
      <sz val="12"/>
      <color indexed="17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 style="hair">
        <color indexed="12"/>
      </bottom>
      <diagonal/>
    </border>
    <border>
      <left style="hair">
        <color indexed="12"/>
      </left>
      <right style="thick">
        <color indexed="12"/>
      </right>
      <top style="thick">
        <color indexed="12"/>
      </top>
      <bottom style="hair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hair">
        <color indexed="12"/>
      </bottom>
      <diagonal/>
    </border>
    <border>
      <left style="thick">
        <color indexed="12"/>
      </left>
      <right style="hair">
        <color indexed="12"/>
      </right>
      <top style="thick">
        <color indexed="12"/>
      </top>
      <bottom style="hair">
        <color indexed="12"/>
      </bottom>
      <diagonal/>
    </border>
    <border>
      <left style="hair">
        <color indexed="12"/>
      </left>
      <right/>
      <top/>
      <bottom/>
      <diagonal/>
    </border>
    <border>
      <left style="thick">
        <color indexed="12"/>
      </left>
      <right/>
      <top/>
      <bottom/>
      <diagonal/>
    </border>
    <border>
      <left style="hair">
        <color indexed="12"/>
      </left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/>
      <bottom/>
      <diagonal/>
    </border>
    <border>
      <left style="thick">
        <color indexed="12"/>
      </left>
      <right style="hair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 style="thick">
        <color indexed="12"/>
      </left>
      <right style="thick">
        <color indexed="12"/>
      </right>
      <top/>
      <bottom style="thick">
        <color indexed="12"/>
      </bottom>
      <diagonal/>
    </border>
    <border>
      <left style="hair">
        <color indexed="12"/>
      </left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 style="hair">
        <color indexed="12"/>
      </right>
      <top style="thick">
        <color indexed="12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hair">
        <color indexed="12"/>
      </left>
      <right/>
      <top style="thick">
        <color indexed="12"/>
      </top>
      <bottom/>
      <diagonal/>
    </border>
    <border>
      <left style="hair">
        <color indexed="12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 style="hair">
        <color indexed="12"/>
      </right>
      <top/>
      <bottom style="thick">
        <color indexed="12"/>
      </bottom>
      <diagonal/>
    </border>
    <border>
      <left style="hair">
        <color indexed="12"/>
      </left>
      <right/>
      <top/>
      <bottom style="thick">
        <color indexed="12"/>
      </bottom>
      <diagonal/>
    </border>
    <border>
      <left style="hair">
        <color indexed="12"/>
      </left>
      <right/>
      <top style="thick">
        <color indexed="12"/>
      </top>
      <bottom style="hair">
        <color indexed="12"/>
      </bottom>
      <diagonal/>
    </border>
    <border>
      <left/>
      <right style="thick">
        <color indexed="12"/>
      </right>
      <top style="thick">
        <color indexed="12"/>
      </top>
      <bottom style="hair">
        <color indexed="12"/>
      </bottom>
      <diagonal/>
    </border>
    <border>
      <left/>
      <right style="thick">
        <color indexed="12"/>
      </right>
      <top/>
      <bottom/>
      <diagonal/>
    </border>
    <border>
      <left/>
      <right style="hair">
        <color indexed="12"/>
      </right>
      <top/>
      <bottom/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9" fontId="3" fillId="0" borderId="0" xfId="0" applyNumberFormat="1" applyFont="1"/>
    <xf numFmtId="10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9" fontId="4" fillId="0" borderId="2" xfId="2" applyFont="1" applyBorder="1" applyAlignment="1">
      <alignment horizontal="center" vertical="center" wrapText="1"/>
    </xf>
    <xf numFmtId="10" fontId="4" fillId="0" borderId="5" xfId="2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9" fontId="4" fillId="0" borderId="7" xfId="2" applyFont="1" applyBorder="1" applyAlignment="1">
      <alignment horizontal="center" vertical="center" wrapText="1"/>
    </xf>
    <xf numFmtId="3" fontId="5" fillId="0" borderId="6" xfId="0" applyNumberFormat="1" applyFont="1" applyBorder="1"/>
    <xf numFmtId="3" fontId="4" fillId="0" borderId="7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9" fontId="4" fillId="0" borderId="7" xfId="2" applyFont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left"/>
    </xf>
    <xf numFmtId="4" fontId="3" fillId="0" borderId="7" xfId="2" applyNumberFormat="1" applyFont="1" applyBorder="1"/>
    <xf numFmtId="4" fontId="3" fillId="0" borderId="8" xfId="2" applyNumberFormat="1" applyFont="1" applyBorder="1"/>
    <xf numFmtId="4" fontId="3" fillId="0" borderId="9" xfId="2" applyNumberFormat="1" applyFont="1" applyBorder="1"/>
    <xf numFmtId="9" fontId="3" fillId="0" borderId="7" xfId="2" applyFont="1" applyBorder="1"/>
    <xf numFmtId="10" fontId="3" fillId="0" borderId="0" xfId="2" applyNumberFormat="1" applyFont="1"/>
    <xf numFmtId="3" fontId="6" fillId="0" borderId="6" xfId="0" applyNumberFormat="1" applyFont="1" applyBorder="1" applyAlignment="1">
      <alignment horizontal="right" indent="3"/>
    </xf>
    <xf numFmtId="4" fontId="6" fillId="0" borderId="7" xfId="2" applyNumberFormat="1" applyFont="1" applyBorder="1"/>
    <xf numFmtId="4" fontId="7" fillId="0" borderId="9" xfId="2" applyNumberFormat="1" applyFont="1" applyBorder="1"/>
    <xf numFmtId="9" fontId="7" fillId="0" borderId="7" xfId="2" applyFont="1" applyBorder="1"/>
    <xf numFmtId="10" fontId="6" fillId="0" borderId="0" xfId="2" applyNumberFormat="1" applyFont="1"/>
    <xf numFmtId="3" fontId="3" fillId="0" borderId="6" xfId="0" quotePrefix="1" applyNumberFormat="1" applyFont="1" applyBorder="1" applyAlignment="1">
      <alignment horizontal="left"/>
    </xf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9" fontId="3" fillId="0" borderId="7" xfId="0" applyNumberFormat="1" applyFont="1" applyBorder="1"/>
    <xf numFmtId="10" fontId="3" fillId="0" borderId="5" xfId="0" applyNumberFormat="1" applyFont="1" applyBorder="1"/>
    <xf numFmtId="9" fontId="4" fillId="0" borderId="7" xfId="0" applyNumberFormat="1" applyFont="1" applyBorder="1" applyAlignment="1">
      <alignment horizontal="right"/>
    </xf>
    <xf numFmtId="10" fontId="4" fillId="0" borderId="5" xfId="0" applyNumberFormat="1" applyFont="1" applyBorder="1" applyAlignment="1">
      <alignment horizontal="right"/>
    </xf>
    <xf numFmtId="4" fontId="3" fillId="0" borderId="7" xfId="2" applyNumberFormat="1" applyFont="1" applyBorder="1" applyAlignment="1">
      <alignment vertical="center"/>
    </xf>
    <xf numFmtId="4" fontId="3" fillId="0" borderId="8" xfId="2" applyNumberFormat="1" applyFont="1" applyBorder="1" applyAlignment="1">
      <alignment vertical="center"/>
    </xf>
    <xf numFmtId="4" fontId="3" fillId="0" borderId="0" xfId="2" applyNumberFormat="1" applyFont="1"/>
    <xf numFmtId="4" fontId="3" fillId="0" borderId="9" xfId="2" applyNumberFormat="1" applyFont="1" applyBorder="1" applyAlignment="1">
      <alignment vertical="center"/>
    </xf>
    <xf numFmtId="9" fontId="3" fillId="0" borderId="7" xfId="2" applyFont="1" applyBorder="1" applyAlignment="1">
      <alignment vertical="center"/>
    </xf>
    <xf numFmtId="10" fontId="3" fillId="0" borderId="0" xfId="2" applyNumberFormat="1" applyFont="1" applyAlignment="1">
      <alignment horizontal="right" vertical="center"/>
    </xf>
    <xf numFmtId="3" fontId="3" fillId="0" borderId="6" xfId="0" applyNumberFormat="1" applyFont="1" applyBorder="1"/>
    <xf numFmtId="10" fontId="8" fillId="0" borderId="0" xfId="2" applyNumberFormat="1" applyFont="1"/>
    <xf numFmtId="3" fontId="8" fillId="0" borderId="0" xfId="0" applyNumberFormat="1" applyFont="1"/>
    <xf numFmtId="3" fontId="9" fillId="0" borderId="6" xfId="0" applyNumberFormat="1" applyFont="1" applyBorder="1" applyAlignment="1">
      <alignment horizontal="right"/>
    </xf>
    <xf numFmtId="4" fontId="9" fillId="0" borderId="7" xfId="2" applyNumberFormat="1" applyFont="1" applyBorder="1"/>
    <xf numFmtId="4" fontId="9" fillId="0" borderId="8" xfId="2" applyNumberFormat="1" applyFont="1" applyBorder="1"/>
    <xf numFmtId="4" fontId="7" fillId="0" borderId="9" xfId="2" applyNumberFormat="1" applyFont="1" applyBorder="1" applyAlignment="1">
      <alignment vertical="center"/>
    </xf>
    <xf numFmtId="9" fontId="7" fillId="0" borderId="7" xfId="2" applyFont="1" applyBorder="1" applyAlignment="1">
      <alignment vertical="center"/>
    </xf>
    <xf numFmtId="10" fontId="9" fillId="0" borderId="0" xfId="2" applyNumberFormat="1" applyFont="1"/>
    <xf numFmtId="4" fontId="6" fillId="0" borderId="9" xfId="2" applyNumberFormat="1" applyFont="1" applyBorder="1"/>
    <xf numFmtId="9" fontId="6" fillId="0" borderId="7" xfId="2" applyFont="1" applyBorder="1"/>
    <xf numFmtId="4" fontId="6" fillId="0" borderId="8" xfId="2" applyNumberFormat="1" applyFont="1" applyBorder="1"/>
    <xf numFmtId="10" fontId="6" fillId="0" borderId="5" xfId="2" applyNumberFormat="1" applyFont="1" applyBorder="1"/>
    <xf numFmtId="3" fontId="3" fillId="0" borderId="0" xfId="0" applyNumberFormat="1" applyFont="1" applyAlignment="1">
      <alignment horizontal="center"/>
    </xf>
    <xf numFmtId="3" fontId="3" fillId="0" borderId="6" xfId="0" applyNumberFormat="1" applyFont="1" applyBorder="1" applyAlignment="1">
      <alignment horizontal="left" vertical="center"/>
    </xf>
    <xf numFmtId="3" fontId="8" fillId="0" borderId="7" xfId="2" applyNumberFormat="1" applyFont="1" applyBorder="1"/>
    <xf numFmtId="3" fontId="8" fillId="0" borderId="8" xfId="2" applyNumberFormat="1" applyFont="1" applyBorder="1"/>
    <xf numFmtId="3" fontId="8" fillId="0" borderId="9" xfId="2" applyNumberFormat="1" applyFont="1" applyBorder="1"/>
    <xf numFmtId="10" fontId="3" fillId="0" borderId="5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3" fontId="6" fillId="0" borderId="9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9" xfId="2" applyNumberFormat="1" applyFont="1" applyBorder="1"/>
    <xf numFmtId="3" fontId="10" fillId="2" borderId="10" xfId="0" applyNumberFormat="1" applyFont="1" applyFill="1" applyBorder="1" applyAlignment="1">
      <alignment horizontal="right" indent="3"/>
    </xf>
    <xf numFmtId="4" fontId="11" fillId="2" borderId="11" xfId="0" quotePrefix="1" applyNumberFormat="1" applyFont="1" applyFill="1" applyBorder="1"/>
    <xf numFmtId="9" fontId="11" fillId="2" borderId="12" xfId="0" quotePrefix="1" applyNumberFormat="1" applyFont="1" applyFill="1" applyBorder="1"/>
    <xf numFmtId="3" fontId="3" fillId="0" borderId="9" xfId="0" applyNumberFormat="1" applyFont="1" applyBorder="1" applyAlignment="1">
      <alignment horizontal="left"/>
    </xf>
    <xf numFmtId="3" fontId="3" fillId="0" borderId="0" xfId="2" applyNumberFormat="1" applyFont="1"/>
    <xf numFmtId="3" fontId="3" fillId="0" borderId="5" xfId="2" applyNumberFormat="1" applyFont="1" applyBorder="1"/>
    <xf numFmtId="3" fontId="3" fillId="3" borderId="13" xfId="0" applyNumberFormat="1" applyFont="1" applyFill="1" applyBorder="1" applyAlignment="1">
      <alignment horizontal="left"/>
    </xf>
    <xf numFmtId="3" fontId="12" fillId="3" borderId="14" xfId="0" applyNumberFormat="1" applyFont="1" applyFill="1" applyBorder="1" applyAlignment="1">
      <alignment horizontal="right"/>
    </xf>
    <xf numFmtId="3" fontId="12" fillId="3" borderId="15" xfId="0" applyNumberFormat="1" applyFont="1" applyFill="1" applyBorder="1" applyAlignment="1">
      <alignment horizontal="right"/>
    </xf>
    <xf numFmtId="9" fontId="12" fillId="3" borderId="16" xfId="0" applyNumberFormat="1" applyFont="1" applyFill="1" applyBorder="1" applyAlignment="1">
      <alignment horizontal="center"/>
    </xf>
    <xf numFmtId="4" fontId="3" fillId="0" borderId="5" xfId="2" applyNumberFormat="1" applyFont="1" applyBorder="1"/>
    <xf numFmtId="3" fontId="3" fillId="0" borderId="17" xfId="0" applyNumberFormat="1" applyFont="1" applyBorder="1"/>
    <xf numFmtId="4" fontId="3" fillId="0" borderId="11" xfId="2" applyNumberFormat="1" applyFont="1" applyBorder="1"/>
    <xf numFmtId="4" fontId="3" fillId="0" borderId="18" xfId="2" applyNumberFormat="1" applyFont="1" applyBorder="1"/>
    <xf numFmtId="9" fontId="13" fillId="0" borderId="12" xfId="2" applyFont="1" applyBorder="1" applyAlignment="1">
      <alignment horizontal="right"/>
    </xf>
    <xf numFmtId="10" fontId="3" fillId="0" borderId="5" xfId="2" applyNumberFormat="1" applyFont="1" applyBorder="1" applyAlignment="1">
      <alignment horizontal="right"/>
    </xf>
    <xf numFmtId="3" fontId="14" fillId="0" borderId="0" xfId="0" applyNumberFormat="1" applyFont="1"/>
    <xf numFmtId="9" fontId="3" fillId="0" borderId="0" xfId="2" applyFont="1"/>
    <xf numFmtId="9" fontId="3" fillId="0" borderId="0" xfId="2" applyFont="1" applyAlignment="1">
      <alignment horizontal="center"/>
    </xf>
    <xf numFmtId="10" fontId="3" fillId="0" borderId="0" xfId="2" applyNumberFormat="1" applyFont="1" applyAlignment="1">
      <alignment horizontal="center"/>
    </xf>
    <xf numFmtId="3" fontId="4" fillId="0" borderId="19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6" fillId="0" borderId="5" xfId="2" applyNumberFormat="1" applyFont="1" applyBorder="1"/>
    <xf numFmtId="4" fontId="6" fillId="0" borderId="6" xfId="2" applyNumberFormat="1" applyFont="1" applyBorder="1"/>
    <xf numFmtId="4" fontId="6" fillId="0" borderId="21" xfId="2" applyNumberFormat="1" applyFont="1" applyBorder="1"/>
    <xf numFmtId="9" fontId="6" fillId="0" borderId="7" xfId="2" applyFont="1" applyBorder="1" applyAlignment="1">
      <alignment horizontal="right"/>
    </xf>
    <xf numFmtId="10" fontId="6" fillId="0" borderId="5" xfId="2" applyNumberFormat="1" applyFont="1" applyBorder="1" applyAlignment="1">
      <alignment horizontal="right"/>
    </xf>
    <xf numFmtId="4" fontId="3" fillId="0" borderId="5" xfId="2" applyNumberFormat="1" applyFont="1" applyBorder="1" applyAlignment="1">
      <alignment vertical="center"/>
    </xf>
    <xf numFmtId="4" fontId="3" fillId="0" borderId="6" xfId="2" applyNumberFormat="1" applyFont="1" applyBorder="1" applyAlignment="1">
      <alignment vertical="center"/>
    </xf>
    <xf numFmtId="4" fontId="3" fillId="0" borderId="21" xfId="2" applyNumberFormat="1" applyFont="1" applyBorder="1" applyAlignment="1">
      <alignment vertical="center"/>
    </xf>
    <xf numFmtId="43" fontId="3" fillId="0" borderId="0" xfId="1" applyFont="1" applyAlignment="1">
      <alignment horizontal="right" vertical="center"/>
    </xf>
    <xf numFmtId="9" fontId="6" fillId="0" borderId="5" xfId="2" applyFont="1" applyBorder="1" applyAlignment="1">
      <alignment horizontal="right"/>
    </xf>
    <xf numFmtId="3" fontId="6" fillId="0" borderId="6" xfId="0" applyNumberFormat="1" applyFont="1" applyBorder="1" applyAlignment="1">
      <alignment horizontal="right" indent="1"/>
    </xf>
    <xf numFmtId="3" fontId="3" fillId="0" borderId="6" xfId="2" applyNumberFormat="1" applyFont="1" applyBorder="1"/>
    <xf numFmtId="3" fontId="3" fillId="0" borderId="21" xfId="2" applyNumberFormat="1" applyFont="1" applyBorder="1"/>
    <xf numFmtId="9" fontId="3" fillId="0" borderId="7" xfId="2" applyFont="1" applyBorder="1" applyAlignment="1">
      <alignment horizontal="center"/>
    </xf>
    <xf numFmtId="10" fontId="3" fillId="0" borderId="5" xfId="2" applyNumberFormat="1" applyFont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4" fontId="3" fillId="4" borderId="6" xfId="0" applyNumberFormat="1" applyFont="1" applyFill="1" applyBorder="1"/>
    <xf numFmtId="4" fontId="3" fillId="4" borderId="6" xfId="0" quotePrefix="1" applyNumberFormat="1" applyFont="1" applyFill="1" applyBorder="1"/>
    <xf numFmtId="4" fontId="3" fillId="4" borderId="8" xfId="0" quotePrefix="1" applyNumberFormat="1" applyFont="1" applyFill="1" applyBorder="1"/>
    <xf numFmtId="4" fontId="3" fillId="4" borderId="21" xfId="0" quotePrefix="1" applyNumberFormat="1" applyFont="1" applyFill="1" applyBorder="1"/>
    <xf numFmtId="4" fontId="3" fillId="4" borderId="9" xfId="2" applyNumberFormat="1" applyFont="1" applyFill="1" applyBorder="1"/>
    <xf numFmtId="9" fontId="3" fillId="4" borderId="7" xfId="2" quotePrefix="1" applyFont="1" applyFill="1" applyBorder="1"/>
    <xf numFmtId="3" fontId="15" fillId="0" borderId="6" xfId="0" applyNumberFormat="1" applyFont="1" applyBorder="1"/>
    <xf numFmtId="3" fontId="3" fillId="0" borderId="5" xfId="0" quotePrefix="1" applyNumberFormat="1" applyFont="1" applyBorder="1"/>
    <xf numFmtId="3" fontId="3" fillId="0" borderId="6" xfId="0" quotePrefix="1" applyNumberFormat="1" applyFont="1" applyBorder="1"/>
    <xf numFmtId="3" fontId="3" fillId="0" borderId="8" xfId="0" quotePrefix="1" applyNumberFormat="1" applyFont="1" applyBorder="1"/>
    <xf numFmtId="3" fontId="3" fillId="0" borderId="21" xfId="0" quotePrefix="1" applyNumberFormat="1" applyFont="1" applyBorder="1"/>
    <xf numFmtId="3" fontId="3" fillId="0" borderId="9" xfId="0" quotePrefix="1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21" xfId="0" applyNumberFormat="1" applyFont="1" applyBorder="1" applyAlignment="1">
      <alignment horizontal="right"/>
    </xf>
    <xf numFmtId="3" fontId="16" fillId="0" borderId="6" xfId="0" applyNumberFormat="1" applyFont="1" applyBorder="1"/>
    <xf numFmtId="4" fontId="16" fillId="0" borderId="5" xfId="2" applyNumberFormat="1" applyFont="1" applyBorder="1" applyAlignment="1">
      <alignment vertical="center"/>
    </xf>
    <xf numFmtId="4" fontId="16" fillId="0" borderId="6" xfId="2" applyNumberFormat="1" applyFont="1" applyBorder="1" applyAlignment="1">
      <alignment vertical="center"/>
    </xf>
    <xf numFmtId="4" fontId="16" fillId="0" borderId="8" xfId="2" applyNumberFormat="1" applyFont="1" applyBorder="1" applyAlignment="1">
      <alignment vertical="center"/>
    </xf>
    <xf numFmtId="4" fontId="16" fillId="0" borderId="21" xfId="2" applyNumberFormat="1" applyFont="1" applyBorder="1" applyAlignment="1">
      <alignment vertical="center"/>
    </xf>
    <xf numFmtId="4" fontId="16" fillId="0" borderId="9" xfId="2" applyNumberFormat="1" applyFont="1" applyBorder="1" applyAlignment="1">
      <alignment vertical="center"/>
    </xf>
    <xf numFmtId="9" fontId="16" fillId="0" borderId="7" xfId="2" applyFont="1" applyBorder="1"/>
    <xf numFmtId="10" fontId="16" fillId="0" borderId="5" xfId="2" applyNumberFormat="1" applyFont="1" applyBorder="1"/>
    <xf numFmtId="3" fontId="16" fillId="0" borderId="6" xfId="0" applyNumberFormat="1" applyFont="1" applyBorder="1" applyAlignment="1">
      <alignment wrapText="1"/>
    </xf>
    <xf numFmtId="10" fontId="16" fillId="0" borderId="5" xfId="2" applyNumberFormat="1" applyFont="1" applyBorder="1" applyAlignment="1">
      <alignment horizontal="right"/>
    </xf>
    <xf numFmtId="3" fontId="16" fillId="0" borderId="0" xfId="0" applyNumberFormat="1" applyFont="1"/>
    <xf numFmtId="3" fontId="16" fillId="0" borderId="22" xfId="0" applyNumberFormat="1" applyFont="1" applyBorder="1" applyAlignment="1">
      <alignment wrapText="1"/>
    </xf>
    <xf numFmtId="9" fontId="16" fillId="0" borderId="7" xfId="2" applyFont="1" applyBorder="1" applyAlignment="1">
      <alignment vertical="center"/>
    </xf>
    <xf numFmtId="4" fontId="8" fillId="0" borderId="21" xfId="2" applyNumberFormat="1" applyFont="1" applyBorder="1" applyAlignment="1">
      <alignment vertical="center"/>
    </xf>
    <xf numFmtId="4" fontId="3" fillId="4" borderId="5" xfId="2" applyNumberFormat="1" applyFont="1" applyFill="1" applyBorder="1"/>
    <xf numFmtId="4" fontId="3" fillId="4" borderId="6" xfId="2" applyNumberFormat="1" applyFont="1" applyFill="1" applyBorder="1"/>
    <xf numFmtId="4" fontId="3" fillId="4" borderId="8" xfId="2" applyNumberFormat="1" applyFont="1" applyFill="1" applyBorder="1"/>
    <xf numFmtId="4" fontId="3" fillId="4" borderId="21" xfId="2" applyNumberFormat="1" applyFont="1" applyFill="1" applyBorder="1"/>
    <xf numFmtId="10" fontId="6" fillId="0" borderId="5" xfId="2" applyNumberFormat="1" applyFont="1" applyBorder="1" applyAlignment="1">
      <alignment horizontal="center"/>
    </xf>
    <xf numFmtId="3" fontId="17" fillId="0" borderId="6" xfId="0" applyNumberFormat="1" applyFont="1" applyBorder="1"/>
    <xf numFmtId="3" fontId="17" fillId="0" borderId="5" xfId="0" applyNumberFormat="1" applyFont="1" applyBorder="1"/>
    <xf numFmtId="3" fontId="17" fillId="0" borderId="8" xfId="0" applyNumberFormat="1" applyFont="1" applyBorder="1"/>
    <xf numFmtId="3" fontId="17" fillId="0" borderId="21" xfId="0" applyNumberFormat="1" applyFont="1" applyBorder="1"/>
    <xf numFmtId="3" fontId="17" fillId="0" borderId="9" xfId="0" applyNumberFormat="1" applyFont="1" applyBorder="1"/>
    <xf numFmtId="4" fontId="11" fillId="2" borderId="23" xfId="0" quotePrefix="1" applyNumberFormat="1" applyFont="1" applyFill="1" applyBorder="1"/>
    <xf numFmtId="4" fontId="11" fillId="2" borderId="17" xfId="0" quotePrefix="1" applyNumberFormat="1" applyFont="1" applyFill="1" applyBorder="1"/>
    <xf numFmtId="9" fontId="11" fillId="2" borderId="12" xfId="2" quotePrefix="1" applyFont="1" applyFill="1" applyBorder="1"/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EC58-1440-42D1-AA6F-BDE6A647B265}">
  <dimension ref="A5:R158"/>
  <sheetViews>
    <sheetView showGridLines="0" tabSelected="1" zoomScale="85" zoomScaleNormal="85" workbookViewId="0">
      <selection activeCell="N17" sqref="N17"/>
    </sheetView>
  </sheetViews>
  <sheetFormatPr baseColWidth="10" defaultColWidth="11.42578125" defaultRowHeight="15.75" outlineLevelRow="2" outlineLevelCol="1" x14ac:dyDescent="0.25"/>
  <cols>
    <col min="1" max="1" width="3.42578125" style="2" customWidth="1"/>
    <col min="2" max="2" width="58.28515625" style="2" customWidth="1"/>
    <col min="3" max="4" width="16.85546875" style="2" hidden="1" customWidth="1" outlineLevel="1"/>
    <col min="5" max="8" width="19.28515625" style="2" hidden="1" customWidth="1" outlineLevel="1"/>
    <col min="9" max="9" width="19.28515625" style="2" customWidth="1" collapsed="1"/>
    <col min="10" max="10" width="19.28515625" style="2" customWidth="1"/>
    <col min="11" max="11" width="17.5703125" style="2" bestFit="1" customWidth="1"/>
    <col min="12" max="12" width="14" style="91" customWidth="1"/>
    <col min="13" max="13" width="22" style="92" customWidth="1"/>
    <col min="14" max="16384" width="11.42578125" style="2"/>
  </cols>
  <sheetData>
    <row r="5" spans="2:13" ht="21" x14ac:dyDescent="0.35">
      <c r="B5" s="163" t="s">
        <v>0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"/>
    </row>
    <row r="7" spans="2:13" ht="18.75" x14ac:dyDescent="0.3">
      <c r="B7" s="164" t="s">
        <v>1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3"/>
    </row>
    <row r="8" spans="2:13" ht="16.5" thickBot="1" x14ac:dyDescent="0.3">
      <c r="L8" s="4"/>
      <c r="M8" s="5"/>
    </row>
    <row r="9" spans="2:13" ht="57" thickTop="1" x14ac:dyDescent="0.25">
      <c r="B9" s="6" t="s">
        <v>2</v>
      </c>
      <c r="C9" s="7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7" t="s">
        <v>8</v>
      </c>
      <c r="I9" s="7" t="s">
        <v>9</v>
      </c>
      <c r="J9" s="7" t="s">
        <v>10</v>
      </c>
      <c r="K9" s="9" t="s">
        <v>11</v>
      </c>
      <c r="L9" s="10" t="s">
        <v>12</v>
      </c>
      <c r="M9" s="11"/>
    </row>
    <row r="10" spans="2:13" ht="18.75" x14ac:dyDescent="0.25">
      <c r="B10" s="12"/>
      <c r="C10" s="13"/>
      <c r="D10" s="14"/>
      <c r="E10" s="14"/>
      <c r="F10" s="14"/>
      <c r="G10" s="14"/>
      <c r="H10" s="14"/>
      <c r="I10" s="14"/>
      <c r="J10" s="14"/>
      <c r="K10" s="15"/>
      <c r="L10" s="16"/>
      <c r="M10" s="11"/>
    </row>
    <row r="11" spans="2:13" ht="18.75" x14ac:dyDescent="0.3">
      <c r="B11" s="17" t="s">
        <v>13</v>
      </c>
      <c r="C11" s="18"/>
      <c r="D11" s="19"/>
      <c r="E11" s="19"/>
      <c r="F11" s="19"/>
      <c r="G11" s="19"/>
      <c r="H11" s="19"/>
      <c r="I11" s="19"/>
      <c r="J11" s="19"/>
      <c r="K11" s="20"/>
      <c r="L11" s="21"/>
      <c r="M11" s="22"/>
    </row>
    <row r="12" spans="2:13" x14ac:dyDescent="0.25">
      <c r="B12" s="23" t="s">
        <v>14</v>
      </c>
      <c r="C12" s="24">
        <v>295000</v>
      </c>
      <c r="D12" s="25">
        <v>295000</v>
      </c>
      <c r="E12" s="25">
        <v>322497</v>
      </c>
      <c r="F12" s="25">
        <v>326043.48</v>
      </c>
      <c r="G12" s="25">
        <v>310409.52</v>
      </c>
      <c r="H12" s="25">
        <v>298572</v>
      </c>
      <c r="I12" s="25">
        <v>283127.03999999998</v>
      </c>
      <c r="J12" s="25">
        <v>294633.12</v>
      </c>
      <c r="K12" s="26">
        <f>+J12-I12</f>
        <v>11506.080000000016</v>
      </c>
      <c r="L12" s="27">
        <f>+K12/I12</f>
        <v>4.0639283340792941E-2</v>
      </c>
      <c r="M12" s="28"/>
    </row>
    <row r="13" spans="2:13" x14ac:dyDescent="0.25">
      <c r="B13" s="23" t="s">
        <v>15</v>
      </c>
      <c r="C13" s="24">
        <v>107000</v>
      </c>
      <c r="D13" s="25">
        <v>107000</v>
      </c>
      <c r="E13" s="25">
        <v>111562</v>
      </c>
      <c r="F13" s="25">
        <f>130914+18000</f>
        <v>148914</v>
      </c>
      <c r="G13" s="25">
        <v>140916.96</v>
      </c>
      <c r="H13" s="25">
        <v>149956.20000000001</v>
      </c>
      <c r="I13" s="25">
        <v>143319.6</v>
      </c>
      <c r="J13" s="25">
        <v>150849.12</v>
      </c>
      <c r="K13" s="26">
        <f t="shared" ref="K13:K21" si="0">+J13-I13</f>
        <v>7529.5199999999895</v>
      </c>
      <c r="L13" s="27">
        <f t="shared" ref="L13:L21" si="1">+K13/I13</f>
        <v>5.2536568620063055E-2</v>
      </c>
      <c r="M13" s="28"/>
    </row>
    <row r="14" spans="2:13" x14ac:dyDescent="0.25">
      <c r="B14" s="23" t="s">
        <v>16</v>
      </c>
      <c r="C14" s="24">
        <f>116288.11*0.95</f>
        <v>110473.70449999999</v>
      </c>
      <c r="D14" s="25">
        <v>110473.7</v>
      </c>
      <c r="E14" s="25">
        <v>99684.46</v>
      </c>
      <c r="F14" s="25">
        <v>111093.72</v>
      </c>
      <c r="G14" s="25">
        <v>120685.32</v>
      </c>
      <c r="H14" s="25">
        <v>117961.32</v>
      </c>
      <c r="I14" s="25">
        <v>114403.68</v>
      </c>
      <c r="J14" s="25">
        <v>110915.88</v>
      </c>
      <c r="K14" s="26">
        <f t="shared" si="0"/>
        <v>-3487.7999999999884</v>
      </c>
      <c r="L14" s="27">
        <f t="shared" si="1"/>
        <v>-3.048678154409009E-2</v>
      </c>
      <c r="M14" s="28"/>
    </row>
    <row r="15" spans="2:13" x14ac:dyDescent="0.25">
      <c r="B15" s="23" t="s">
        <v>17</v>
      </c>
      <c r="C15" s="24">
        <v>84859.66</v>
      </c>
      <c r="D15" s="25">
        <v>84859.66</v>
      </c>
      <c r="E15" s="25">
        <v>80096.67</v>
      </c>
      <c r="F15" s="25">
        <v>78213.600000000006</v>
      </c>
      <c r="G15" s="25">
        <v>73448.88</v>
      </c>
      <c r="H15" s="25">
        <v>77955.72</v>
      </c>
      <c r="I15" s="25">
        <v>75509.88</v>
      </c>
      <c r="J15" s="25">
        <v>84040.92</v>
      </c>
      <c r="K15" s="26">
        <f t="shared" si="0"/>
        <v>8531.0399999999936</v>
      </c>
      <c r="L15" s="27">
        <f t="shared" si="1"/>
        <v>0.11297912273201856</v>
      </c>
      <c r="M15" s="28"/>
    </row>
    <row r="16" spans="2:13" x14ac:dyDescent="0.25">
      <c r="B16" s="23" t="s">
        <v>18</v>
      </c>
      <c r="C16" s="24">
        <f>9906.5*0.95</f>
        <v>9411.1749999999993</v>
      </c>
      <c r="D16" s="25">
        <v>9411.18</v>
      </c>
      <c r="E16" s="25">
        <v>14210.49</v>
      </c>
      <c r="F16" s="25">
        <v>15883.56</v>
      </c>
      <c r="G16" s="25">
        <v>19468.560000000001</v>
      </c>
      <c r="H16" s="25">
        <v>22696.92</v>
      </c>
      <c r="I16" s="25">
        <v>23506.92</v>
      </c>
      <c r="J16" s="25">
        <v>38482.92</v>
      </c>
      <c r="K16" s="26">
        <f t="shared" si="0"/>
        <v>14976</v>
      </c>
      <c r="L16" s="27">
        <f t="shared" si="1"/>
        <v>0.63708899336876124</v>
      </c>
      <c r="M16" s="28"/>
    </row>
    <row r="17" spans="2:13" x14ac:dyDescent="0.25">
      <c r="B17" s="23" t="s">
        <v>19</v>
      </c>
      <c r="C17" s="24">
        <v>25000</v>
      </c>
      <c r="D17" s="25">
        <v>0</v>
      </c>
      <c r="E17" s="25">
        <f>4485+1205</f>
        <v>5690</v>
      </c>
      <c r="F17" s="25">
        <v>20970</v>
      </c>
      <c r="G17" s="25">
        <f>18240+360</f>
        <v>18600</v>
      </c>
      <c r="H17" s="25">
        <v>19146</v>
      </c>
      <c r="I17" s="25">
        <v>16474.080000000002</v>
      </c>
      <c r="J17" s="25">
        <v>19912.439999999999</v>
      </c>
      <c r="K17" s="26">
        <f t="shared" si="0"/>
        <v>3438.3599999999969</v>
      </c>
      <c r="L17" s="27">
        <f t="shared" si="1"/>
        <v>0.20871332420384001</v>
      </c>
      <c r="M17" s="28"/>
    </row>
    <row r="18" spans="2:13" hidden="1" outlineLevel="1" x14ac:dyDescent="0.25">
      <c r="B18" s="23" t="s">
        <v>20</v>
      </c>
      <c r="C18" s="24">
        <v>25000</v>
      </c>
      <c r="D18" s="25">
        <v>0</v>
      </c>
      <c r="E18" s="25">
        <v>750</v>
      </c>
      <c r="F18" s="25">
        <v>6600</v>
      </c>
      <c r="G18" s="25">
        <v>8400</v>
      </c>
      <c r="H18" s="25">
        <v>0</v>
      </c>
      <c r="I18" s="25">
        <v>0</v>
      </c>
      <c r="J18" s="25"/>
      <c r="K18" s="26">
        <f t="shared" si="0"/>
        <v>0</v>
      </c>
      <c r="L18" s="27" t="e">
        <f t="shared" si="1"/>
        <v>#DIV/0!</v>
      </c>
      <c r="M18" s="28"/>
    </row>
    <row r="19" spans="2:13" collapsed="1" x14ac:dyDescent="0.25">
      <c r="B19" s="23" t="s">
        <v>21</v>
      </c>
      <c r="C19" s="24"/>
      <c r="D19" s="25"/>
      <c r="E19" s="25">
        <v>0</v>
      </c>
      <c r="F19" s="25">
        <v>0</v>
      </c>
      <c r="G19" s="25">
        <v>15000</v>
      </c>
      <c r="H19" s="25">
        <v>15000</v>
      </c>
      <c r="I19" s="25">
        <v>15000</v>
      </c>
      <c r="J19" s="25">
        <v>15000</v>
      </c>
      <c r="K19" s="26">
        <f t="shared" si="0"/>
        <v>0</v>
      </c>
      <c r="L19" s="27">
        <f t="shared" si="1"/>
        <v>0</v>
      </c>
      <c r="M19" s="28"/>
    </row>
    <row r="20" spans="2:13" x14ac:dyDescent="0.25">
      <c r="B20" s="23" t="s">
        <v>22</v>
      </c>
      <c r="C20" s="24">
        <f>19216.27*0.95</f>
        <v>18255.4565</v>
      </c>
      <c r="D20" s="25">
        <v>18255.46</v>
      </c>
      <c r="E20" s="25">
        <v>39900.559999999998</v>
      </c>
      <c r="F20" s="25">
        <v>30000</v>
      </c>
      <c r="G20" s="25">
        <v>30000</v>
      </c>
      <c r="H20" s="25">
        <v>30000</v>
      </c>
      <c r="I20" s="25">
        <v>30000</v>
      </c>
      <c r="J20" s="25">
        <v>60000</v>
      </c>
      <c r="K20" s="26">
        <f t="shared" si="0"/>
        <v>30000</v>
      </c>
      <c r="L20" s="27">
        <f t="shared" si="1"/>
        <v>1</v>
      </c>
      <c r="M20" s="28"/>
    </row>
    <row r="21" spans="2:13" x14ac:dyDescent="0.25">
      <c r="B21" s="23" t="s">
        <v>23</v>
      </c>
      <c r="C21" s="24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10632</v>
      </c>
      <c r="J21" s="25">
        <v>17514</v>
      </c>
      <c r="K21" s="26">
        <f t="shared" si="0"/>
        <v>6882</v>
      </c>
      <c r="L21" s="27">
        <f t="shared" si="1"/>
        <v>0.64729119638826182</v>
      </c>
      <c r="M21" s="28"/>
    </row>
    <row r="22" spans="2:13" x14ac:dyDescent="0.25">
      <c r="B22" s="29" t="s">
        <v>24</v>
      </c>
      <c r="C22" s="30">
        <f>SUM(C12:C21)</f>
        <v>674999.99600000004</v>
      </c>
      <c r="D22" s="30">
        <f t="shared" ref="D22:J22" si="2">SUM(D12:D21)</f>
        <v>625000</v>
      </c>
      <c r="E22" s="30">
        <f t="shared" si="2"/>
        <v>674391.17999999993</v>
      </c>
      <c r="F22" s="30">
        <f t="shared" si="2"/>
        <v>737718.36</v>
      </c>
      <c r="G22" s="30">
        <f t="shared" si="2"/>
        <v>736929.24000000011</v>
      </c>
      <c r="H22" s="30">
        <f t="shared" si="2"/>
        <v>731288.16</v>
      </c>
      <c r="I22" s="30">
        <f t="shared" si="2"/>
        <v>711973.20000000007</v>
      </c>
      <c r="J22" s="30">
        <f t="shared" si="2"/>
        <v>791348.4</v>
      </c>
      <c r="K22" s="31">
        <f>+J22-I22</f>
        <v>79375.199999999953</v>
      </c>
      <c r="L22" s="32">
        <f>+K22/I22</f>
        <v>0.11148621886329421</v>
      </c>
      <c r="M22" s="33"/>
    </row>
    <row r="23" spans="2:13" x14ac:dyDescent="0.25">
      <c r="B23" s="34"/>
      <c r="C23" s="35"/>
      <c r="D23" s="36"/>
      <c r="E23" s="36"/>
      <c r="F23" s="36"/>
      <c r="G23" s="36"/>
      <c r="H23" s="36"/>
      <c r="I23" s="36"/>
      <c r="J23" s="36"/>
      <c r="K23" s="37"/>
      <c r="L23" s="38"/>
      <c r="M23" s="39"/>
    </row>
    <row r="24" spans="2:13" ht="18.75" x14ac:dyDescent="0.3">
      <c r="B24" s="17" t="s">
        <v>25</v>
      </c>
      <c r="C24" s="18"/>
      <c r="D24" s="19"/>
      <c r="E24" s="19"/>
      <c r="F24" s="19"/>
      <c r="G24" s="19"/>
      <c r="H24" s="19"/>
      <c r="I24" s="19"/>
      <c r="J24" s="19"/>
      <c r="K24" s="20"/>
      <c r="L24" s="40"/>
      <c r="M24" s="41"/>
    </row>
    <row r="25" spans="2:13" hidden="1" outlineLevel="1" x14ac:dyDescent="0.25">
      <c r="B25" s="23" t="s">
        <v>26</v>
      </c>
      <c r="C25" s="42">
        <v>3798450.78</v>
      </c>
      <c r="D25" s="43">
        <v>1758076</v>
      </c>
      <c r="E25" s="43">
        <f>1722914.48+1500000</f>
        <v>3222914.48</v>
      </c>
      <c r="F25" s="43">
        <v>4199114.4800000004</v>
      </c>
      <c r="G25" s="43">
        <v>0</v>
      </c>
      <c r="H25" s="44">
        <v>0</v>
      </c>
      <c r="I25" s="44">
        <v>0</v>
      </c>
      <c r="J25" s="44">
        <v>0</v>
      </c>
      <c r="K25" s="45">
        <f>+H25-G25</f>
        <v>0</v>
      </c>
      <c r="L25" s="46"/>
      <c r="M25" s="47"/>
    </row>
    <row r="26" spans="2:13" hidden="1" outlineLevel="1" x14ac:dyDescent="0.25">
      <c r="B26" s="48" t="s">
        <v>27</v>
      </c>
      <c r="C26" s="42">
        <v>0</v>
      </c>
      <c r="D26" s="43">
        <v>1500000</v>
      </c>
      <c r="E26" s="43">
        <v>1470000</v>
      </c>
      <c r="F26" s="43">
        <v>1470000</v>
      </c>
      <c r="G26" s="43">
        <v>0</v>
      </c>
      <c r="H26" s="44">
        <v>0</v>
      </c>
      <c r="I26" s="44">
        <v>0</v>
      </c>
      <c r="J26" s="44">
        <v>0</v>
      </c>
      <c r="K26" s="45">
        <f>+H26-G26</f>
        <v>0</v>
      </c>
      <c r="L26" s="46"/>
      <c r="M26" s="47"/>
    </row>
    <row r="27" spans="2:13" collapsed="1" x14ac:dyDescent="0.25">
      <c r="B27" s="23" t="s">
        <v>28</v>
      </c>
      <c r="C27" s="42"/>
      <c r="D27" s="43"/>
      <c r="E27" s="43">
        <v>0</v>
      </c>
      <c r="F27" s="43">
        <v>0</v>
      </c>
      <c r="G27" s="43">
        <v>2046724</v>
      </c>
      <c r="H27" s="43">
        <v>2046724</v>
      </c>
      <c r="I27" s="43">
        <v>2046724</v>
      </c>
      <c r="J27" s="43">
        <v>2046724</v>
      </c>
      <c r="K27" s="45">
        <f>+J27-I27</f>
        <v>0</v>
      </c>
      <c r="L27" s="46">
        <f>+K27/I27</f>
        <v>0</v>
      </c>
      <c r="M27" s="47"/>
    </row>
    <row r="28" spans="2:13" x14ac:dyDescent="0.25">
      <c r="B28" s="48" t="s">
        <v>29</v>
      </c>
      <c r="C28" s="24"/>
      <c r="D28" s="25"/>
      <c r="E28" s="25">
        <v>0</v>
      </c>
      <c r="F28" s="25">
        <v>0</v>
      </c>
      <c r="G28" s="25">
        <f>3818390.48-21000</f>
        <v>3797390.48</v>
      </c>
      <c r="H28" s="25">
        <v>4297390.4800000004</v>
      </c>
      <c r="I28" s="25">
        <f>4297390.48+60000</f>
        <v>4357390.4800000004</v>
      </c>
      <c r="J28" s="25">
        <f>4297390.48+60000+1000000</f>
        <v>5357390.4800000004</v>
      </c>
      <c r="K28" s="45">
        <f t="shared" ref="K28:K37" si="3">+J28-I28</f>
        <v>1000000</v>
      </c>
      <c r="L28" s="46">
        <f t="shared" ref="L28:L37" si="4">+K28/I28</f>
        <v>0.22949515417310037</v>
      </c>
      <c r="M28" s="49"/>
    </row>
    <row r="29" spans="2:13" x14ac:dyDescent="0.25">
      <c r="B29" s="48" t="s">
        <v>30</v>
      </c>
      <c r="C29" s="24"/>
      <c r="D29" s="25"/>
      <c r="E29" s="25">
        <v>0</v>
      </c>
      <c r="F29" s="25">
        <v>185000</v>
      </c>
      <c r="G29" s="25">
        <v>400000</v>
      </c>
      <c r="H29" s="25">
        <v>400000</v>
      </c>
      <c r="I29" s="25">
        <v>400000</v>
      </c>
      <c r="J29" s="25">
        <v>0</v>
      </c>
      <c r="K29" s="45">
        <f t="shared" si="3"/>
        <v>-400000</v>
      </c>
      <c r="L29" s="46">
        <f t="shared" si="4"/>
        <v>-1</v>
      </c>
      <c r="M29" s="28"/>
    </row>
    <row r="30" spans="2:13" x14ac:dyDescent="0.25">
      <c r="B30" s="48" t="s">
        <v>31</v>
      </c>
      <c r="C30" s="24"/>
      <c r="D30" s="25"/>
      <c r="E30" s="25"/>
      <c r="F30" s="25"/>
      <c r="G30" s="25"/>
      <c r="H30" s="25"/>
      <c r="I30" s="25">
        <v>0</v>
      </c>
      <c r="J30" s="25">
        <v>973000</v>
      </c>
      <c r="K30" s="45">
        <f t="shared" si="3"/>
        <v>973000</v>
      </c>
      <c r="L30" s="46"/>
      <c r="M30" s="28"/>
    </row>
    <row r="31" spans="2:13" x14ac:dyDescent="0.25">
      <c r="B31" s="48" t="s">
        <v>32</v>
      </c>
      <c r="C31" s="24">
        <v>191802.23</v>
      </c>
      <c r="D31" s="25">
        <v>174885</v>
      </c>
      <c r="E31" s="25">
        <v>171387.3</v>
      </c>
      <c r="F31" s="25">
        <v>171387.3</v>
      </c>
      <c r="G31" s="25">
        <v>171387.3</v>
      </c>
      <c r="H31" s="25">
        <v>171387.3</v>
      </c>
      <c r="I31" s="25">
        <v>171387.3</v>
      </c>
      <c r="J31" s="25">
        <v>171387.3</v>
      </c>
      <c r="K31" s="45">
        <f t="shared" si="3"/>
        <v>0</v>
      </c>
      <c r="L31" s="46">
        <f t="shared" si="4"/>
        <v>0</v>
      </c>
      <c r="M31" s="28"/>
    </row>
    <row r="32" spans="2:13" x14ac:dyDescent="0.25">
      <c r="B32" s="48" t="s">
        <v>33</v>
      </c>
      <c r="C32" s="24"/>
      <c r="D32" s="25"/>
      <c r="E32" s="25">
        <v>0</v>
      </c>
      <c r="F32" s="25">
        <v>165500</v>
      </c>
      <c r="G32" s="25">
        <v>105500</v>
      </c>
      <c r="H32" s="25">
        <v>165500</v>
      </c>
      <c r="I32" s="25">
        <v>165500</v>
      </c>
      <c r="J32" s="25">
        <v>0</v>
      </c>
      <c r="K32" s="45">
        <f t="shared" si="3"/>
        <v>-165500</v>
      </c>
      <c r="L32" s="46">
        <f t="shared" si="4"/>
        <v>-1</v>
      </c>
      <c r="M32" s="28"/>
    </row>
    <row r="33" spans="2:18" x14ac:dyDescent="0.25">
      <c r="B33" s="48" t="s">
        <v>34</v>
      </c>
      <c r="C33" s="24"/>
      <c r="D33" s="25"/>
      <c r="E33" s="25"/>
      <c r="F33" s="25"/>
      <c r="G33" s="25"/>
      <c r="H33" s="25">
        <v>0</v>
      </c>
      <c r="I33" s="25">
        <v>30000</v>
      </c>
      <c r="J33" s="25">
        <v>100000</v>
      </c>
      <c r="K33" s="45">
        <f t="shared" si="3"/>
        <v>70000</v>
      </c>
      <c r="L33" s="46">
        <f t="shared" si="4"/>
        <v>2.3333333333333335</v>
      </c>
      <c r="M33" s="49"/>
      <c r="N33" s="50"/>
      <c r="O33" s="50"/>
      <c r="P33" s="50"/>
      <c r="Q33" s="50"/>
      <c r="R33" s="50"/>
    </row>
    <row r="34" spans="2:18" x14ac:dyDescent="0.25">
      <c r="B34" s="48" t="s">
        <v>35</v>
      </c>
      <c r="C34" s="24"/>
      <c r="D34" s="25"/>
      <c r="E34" s="25"/>
      <c r="F34" s="25">
        <v>0</v>
      </c>
      <c r="G34" s="25">
        <v>0</v>
      </c>
      <c r="H34" s="25">
        <v>176200</v>
      </c>
      <c r="I34" s="25">
        <v>176200</v>
      </c>
      <c r="J34" s="25">
        <v>0</v>
      </c>
      <c r="K34" s="45">
        <f t="shared" si="3"/>
        <v>-176200</v>
      </c>
      <c r="L34" s="46">
        <f t="shared" si="4"/>
        <v>-1</v>
      </c>
      <c r="M34" s="28"/>
    </row>
    <row r="35" spans="2:18" hidden="1" outlineLevel="1" x14ac:dyDescent="0.25">
      <c r="B35" s="48" t="s">
        <v>36</v>
      </c>
      <c r="C35" s="24"/>
      <c r="D35" s="25"/>
      <c r="E35" s="25"/>
      <c r="F35" s="25">
        <v>0</v>
      </c>
      <c r="G35" s="25">
        <v>0</v>
      </c>
      <c r="H35" s="25">
        <v>25000</v>
      </c>
      <c r="I35" s="25">
        <v>0</v>
      </c>
      <c r="J35" s="25">
        <v>0</v>
      </c>
      <c r="K35" s="45">
        <f t="shared" si="3"/>
        <v>0</v>
      </c>
      <c r="L35" s="46" t="e">
        <f t="shared" si="4"/>
        <v>#DIV/0!</v>
      </c>
      <c r="M35" s="49"/>
    </row>
    <row r="36" spans="2:18" collapsed="1" x14ac:dyDescent="0.25">
      <c r="B36" s="48" t="s">
        <v>37</v>
      </c>
      <c r="C36" s="24"/>
      <c r="D36" s="25"/>
      <c r="E36" s="25"/>
      <c r="F36" s="25">
        <v>0</v>
      </c>
      <c r="G36" s="25">
        <v>0</v>
      </c>
      <c r="H36" s="25">
        <v>0</v>
      </c>
      <c r="I36" s="25">
        <v>100000</v>
      </c>
      <c r="J36" s="25">
        <v>0</v>
      </c>
      <c r="K36" s="45">
        <f t="shared" si="3"/>
        <v>-100000</v>
      </c>
      <c r="L36" s="46">
        <f t="shared" si="4"/>
        <v>-1</v>
      </c>
      <c r="M36" s="49"/>
    </row>
    <row r="37" spans="2:18" x14ac:dyDescent="0.25">
      <c r="B37" s="48" t="s">
        <v>38</v>
      </c>
      <c r="C37" s="24">
        <f>31168/1.05</f>
        <v>29683.809523809523</v>
      </c>
      <c r="D37" s="25">
        <v>100000</v>
      </c>
      <c r="E37" s="25">
        <v>98000</v>
      </c>
      <c r="F37" s="25">
        <v>98000</v>
      </c>
      <c r="G37" s="25">
        <v>98000</v>
      </c>
      <c r="H37" s="25">
        <v>98000</v>
      </c>
      <c r="I37" s="25">
        <v>98000</v>
      </c>
      <c r="J37" s="25">
        <v>98000</v>
      </c>
      <c r="K37" s="45">
        <f t="shared" si="3"/>
        <v>0</v>
      </c>
      <c r="L37" s="46">
        <f t="shared" si="4"/>
        <v>0</v>
      </c>
      <c r="M37" s="28"/>
    </row>
    <row r="38" spans="2:18" x14ac:dyDescent="0.25">
      <c r="B38" s="51" t="s">
        <v>39</v>
      </c>
      <c r="C38" s="52">
        <f>SUM(C25:C37)</f>
        <v>4019936.8195238095</v>
      </c>
      <c r="D38" s="53">
        <f>SUM(D31:D37)</f>
        <v>274885</v>
      </c>
      <c r="E38" s="53">
        <f>SUM(E31:E37)</f>
        <v>269387.3</v>
      </c>
      <c r="F38" s="53">
        <f>SUM(F25:F37)</f>
        <v>6289001.7800000003</v>
      </c>
      <c r="G38" s="53">
        <f>SUM(G25:G37)</f>
        <v>6619001.7800000003</v>
      </c>
      <c r="H38" s="53">
        <f>SUM(H25:H37)</f>
        <v>7380201.7800000003</v>
      </c>
      <c r="I38" s="53">
        <f>SUM(I25:I37)</f>
        <v>7545201.7800000003</v>
      </c>
      <c r="J38" s="53">
        <f>SUM(J25:J37)</f>
        <v>8746501.7800000012</v>
      </c>
      <c r="K38" s="54">
        <f>J38-I38</f>
        <v>1201300.0000000009</v>
      </c>
      <c r="L38" s="55">
        <f>+K38/I38</f>
        <v>0.15921376724268346</v>
      </c>
      <c r="M38" s="56"/>
    </row>
    <row r="39" spans="2:18" x14ac:dyDescent="0.25">
      <c r="B39" s="51"/>
      <c r="C39" s="52"/>
      <c r="D39" s="53"/>
      <c r="E39" s="53"/>
      <c r="F39" s="53"/>
      <c r="G39" s="53"/>
      <c r="H39" s="53"/>
      <c r="I39" s="53"/>
      <c r="J39" s="53"/>
      <c r="K39" s="57"/>
      <c r="L39" s="58"/>
      <c r="M39" s="56"/>
    </row>
    <row r="40" spans="2:18" x14ac:dyDescent="0.25">
      <c r="B40" s="48" t="s">
        <v>40</v>
      </c>
      <c r="C40" s="42">
        <v>133417</v>
      </c>
      <c r="D40" s="43">
        <v>195000</v>
      </c>
      <c r="E40" s="43">
        <v>195000</v>
      </c>
      <c r="F40" s="43">
        <v>0</v>
      </c>
      <c r="G40" s="43">
        <v>120000</v>
      </c>
      <c r="H40" s="43">
        <v>120000</v>
      </c>
      <c r="I40" s="43">
        <v>16000</v>
      </c>
      <c r="J40" s="43">
        <v>120000</v>
      </c>
      <c r="K40" s="45">
        <f>+J40-I40</f>
        <v>104000</v>
      </c>
      <c r="L40" s="46">
        <f>+K40/I40</f>
        <v>6.5</v>
      </c>
      <c r="M40" s="56"/>
    </row>
    <row r="41" spans="2:18" x14ac:dyDescent="0.25">
      <c r="B41" s="23" t="s">
        <v>41</v>
      </c>
      <c r="C41" s="42"/>
      <c r="D41" s="43"/>
      <c r="E41" s="43">
        <v>0</v>
      </c>
      <c r="F41" s="43">
        <v>0</v>
      </c>
      <c r="G41" s="43">
        <v>120000</v>
      </c>
      <c r="H41" s="43">
        <v>120000</v>
      </c>
      <c r="I41" s="43">
        <v>120000</v>
      </c>
      <c r="J41" s="43">
        <v>0</v>
      </c>
      <c r="K41" s="45">
        <f t="shared" ref="K41:K42" si="5">+J41-I41</f>
        <v>-120000</v>
      </c>
      <c r="L41" s="46">
        <f t="shared" ref="L41:L42" si="6">+K41/I41</f>
        <v>-1</v>
      </c>
      <c r="M41" s="47"/>
    </row>
    <row r="42" spans="2:18" x14ac:dyDescent="0.25">
      <c r="B42" s="48" t="s">
        <v>42</v>
      </c>
      <c r="C42" s="42">
        <v>133417</v>
      </c>
      <c r="D42" s="43">
        <v>195000</v>
      </c>
      <c r="E42" s="43">
        <v>0</v>
      </c>
      <c r="F42" s="43">
        <v>200000</v>
      </c>
      <c r="G42" s="43">
        <v>200000</v>
      </c>
      <c r="H42" s="43">
        <v>200000</v>
      </c>
      <c r="I42" s="43">
        <v>200000</v>
      </c>
      <c r="J42" s="43">
        <v>200000</v>
      </c>
      <c r="K42" s="45">
        <f t="shared" si="5"/>
        <v>0</v>
      </c>
      <c r="L42" s="46">
        <f t="shared" si="6"/>
        <v>0</v>
      </c>
      <c r="M42" s="47"/>
    </row>
    <row r="43" spans="2:18" x14ac:dyDescent="0.25">
      <c r="B43" s="51" t="s">
        <v>43</v>
      </c>
      <c r="C43" s="52">
        <f>SUM(C42:C42)</f>
        <v>133417</v>
      </c>
      <c r="D43" s="53">
        <f>SUM(D42:D42)</f>
        <v>195000</v>
      </c>
      <c r="E43" s="53">
        <f t="shared" ref="E43:J43" si="7">SUM(E40:E42)</f>
        <v>195000</v>
      </c>
      <c r="F43" s="53">
        <f t="shared" si="7"/>
        <v>200000</v>
      </c>
      <c r="G43" s="53">
        <f t="shared" si="7"/>
        <v>440000</v>
      </c>
      <c r="H43" s="53">
        <f t="shared" si="7"/>
        <v>440000</v>
      </c>
      <c r="I43" s="53">
        <f t="shared" si="7"/>
        <v>336000</v>
      </c>
      <c r="J43" s="53">
        <f t="shared" si="7"/>
        <v>320000</v>
      </c>
      <c r="K43" s="54">
        <f>+J43-I43</f>
        <v>-16000</v>
      </c>
      <c r="L43" s="55">
        <f>+K43/I43</f>
        <v>-4.7619047619047616E-2</v>
      </c>
      <c r="M43" s="56"/>
    </row>
    <row r="44" spans="2:18" x14ac:dyDescent="0.25">
      <c r="B44" s="51"/>
      <c r="C44" s="52"/>
      <c r="D44" s="53"/>
      <c r="E44" s="53"/>
      <c r="F44" s="53"/>
      <c r="G44" s="53"/>
      <c r="H44" s="53"/>
      <c r="I44" s="53"/>
      <c r="J44" s="53"/>
      <c r="K44" s="57"/>
      <c r="L44" s="58"/>
      <c r="M44" s="56"/>
    </row>
    <row r="45" spans="2:18" x14ac:dyDescent="0.25">
      <c r="B45" s="48" t="s">
        <v>44</v>
      </c>
      <c r="C45" s="42">
        <v>235000</v>
      </c>
      <c r="D45" s="43">
        <v>1833333.33</v>
      </c>
      <c r="E45" s="43">
        <v>3156000</v>
      </c>
      <c r="F45" s="43">
        <v>3208000</v>
      </c>
      <c r="G45" s="43">
        <v>3515000</v>
      </c>
      <c r="H45" s="43">
        <v>3515000</v>
      </c>
      <c r="I45" s="43">
        <v>3515000</v>
      </c>
      <c r="J45" s="43">
        <v>3515000</v>
      </c>
      <c r="K45" s="45">
        <f>+J45-I45</f>
        <v>0</v>
      </c>
      <c r="L45" s="46">
        <f>+K45/I45</f>
        <v>0</v>
      </c>
      <c r="M45" s="47"/>
    </row>
    <row r="46" spans="2:18" x14ac:dyDescent="0.25">
      <c r="B46" s="51" t="s">
        <v>45</v>
      </c>
      <c r="C46" s="52">
        <f>SUM(C45:C45)</f>
        <v>235000</v>
      </c>
      <c r="D46" s="53">
        <f>SUM(D45:D45)</f>
        <v>1833333.33</v>
      </c>
      <c r="E46" s="53">
        <f>SUM(E40:E45)</f>
        <v>3546000</v>
      </c>
      <c r="F46" s="53">
        <f t="shared" ref="F46:K46" si="8">SUM(F45)</f>
        <v>3208000</v>
      </c>
      <c r="G46" s="53">
        <f t="shared" si="8"/>
        <v>3515000</v>
      </c>
      <c r="H46" s="53">
        <f t="shared" si="8"/>
        <v>3515000</v>
      </c>
      <c r="I46" s="53">
        <f t="shared" si="8"/>
        <v>3515000</v>
      </c>
      <c r="J46" s="53">
        <f t="shared" si="8"/>
        <v>3515000</v>
      </c>
      <c r="K46" s="54">
        <f t="shared" si="8"/>
        <v>0</v>
      </c>
      <c r="L46" s="32">
        <f>+K46/I46</f>
        <v>0</v>
      </c>
      <c r="M46" s="56"/>
    </row>
    <row r="47" spans="2:18" x14ac:dyDescent="0.25">
      <c r="B47" s="51"/>
      <c r="C47" s="52"/>
      <c r="D47" s="53"/>
      <c r="E47" s="53"/>
      <c r="F47" s="53"/>
      <c r="G47" s="53"/>
      <c r="H47" s="53"/>
      <c r="I47" s="53"/>
      <c r="J47" s="53"/>
      <c r="K47" s="57"/>
      <c r="L47" s="58"/>
      <c r="M47" s="56"/>
    </row>
    <row r="48" spans="2:18" x14ac:dyDescent="0.25">
      <c r="B48" s="23" t="s">
        <v>46</v>
      </c>
      <c r="C48" s="42"/>
      <c r="D48" s="43">
        <v>1942036.74</v>
      </c>
      <c r="E48" s="43">
        <v>1903196.06</v>
      </c>
      <c r="F48" s="43">
        <v>1903196.06</v>
      </c>
      <c r="G48" s="43">
        <v>2056196.01</v>
      </c>
      <c r="H48" s="43">
        <v>2211511.52</v>
      </c>
      <c r="I48" s="43">
        <v>2211511.52</v>
      </c>
      <c r="J48" s="43">
        <v>2211511.52</v>
      </c>
      <c r="K48" s="45">
        <f>+J48-I48</f>
        <v>0</v>
      </c>
      <c r="L48" s="46">
        <f>+K48/I48</f>
        <v>0</v>
      </c>
      <c r="M48" s="47"/>
    </row>
    <row r="49" spans="1:13" x14ac:dyDescent="0.25">
      <c r="B49" s="51" t="s">
        <v>47</v>
      </c>
      <c r="C49" s="52">
        <f>SUM(C48:C48)</f>
        <v>0</v>
      </c>
      <c r="D49" s="53">
        <f>SUM(D48:D48)</f>
        <v>1942036.74</v>
      </c>
      <c r="E49" s="53">
        <f>SUM(E43:E48)</f>
        <v>8800196.0600000005</v>
      </c>
      <c r="F49" s="53">
        <f>SUM(F48)</f>
        <v>1903196.06</v>
      </c>
      <c r="G49" s="53">
        <f>SUM(G48)</f>
        <v>2056196.01</v>
      </c>
      <c r="H49" s="53">
        <f>SUM(H48)</f>
        <v>2211511.52</v>
      </c>
      <c r="I49" s="53">
        <f>SUM(I48)</f>
        <v>2211511.52</v>
      </c>
      <c r="J49" s="53">
        <f>SUM(J48)</f>
        <v>2211511.52</v>
      </c>
      <c r="K49" s="57">
        <f>+J49-I49</f>
        <v>0</v>
      </c>
      <c r="L49" s="58">
        <f>+K49/I49</f>
        <v>0</v>
      </c>
      <c r="M49" s="56"/>
    </row>
    <row r="50" spans="1:13" x14ac:dyDescent="0.25">
      <c r="B50" s="51"/>
      <c r="C50" s="52"/>
      <c r="D50" s="53"/>
      <c r="E50" s="53"/>
      <c r="F50" s="53"/>
      <c r="G50" s="53"/>
      <c r="H50" s="53"/>
      <c r="I50" s="53"/>
      <c r="J50" s="53"/>
      <c r="K50" s="57"/>
      <c r="L50" s="58"/>
      <c r="M50" s="56"/>
    </row>
    <row r="51" spans="1:13" hidden="1" outlineLevel="1" x14ac:dyDescent="0.25">
      <c r="B51" s="48" t="s">
        <v>48</v>
      </c>
      <c r="C51" s="24"/>
      <c r="D51" s="25"/>
      <c r="E51" s="25">
        <v>0</v>
      </c>
      <c r="F51" s="25">
        <v>330000</v>
      </c>
      <c r="G51" s="25">
        <v>0</v>
      </c>
      <c r="H51" s="25">
        <v>0</v>
      </c>
      <c r="I51" s="25">
        <v>0</v>
      </c>
      <c r="J51" s="25">
        <v>0</v>
      </c>
      <c r="K51" s="45">
        <f>+H51-G51</f>
        <v>0</v>
      </c>
      <c r="L51" s="27"/>
      <c r="M51" s="28"/>
    </row>
    <row r="52" spans="1:13" hidden="1" outlineLevel="1" x14ac:dyDescent="0.25">
      <c r="B52" s="48" t="s">
        <v>49</v>
      </c>
      <c r="C52" s="24">
        <v>112995</v>
      </c>
      <c r="D52" s="25">
        <v>94000</v>
      </c>
      <c r="E52" s="25">
        <v>94000</v>
      </c>
      <c r="F52" s="25">
        <v>94000</v>
      </c>
      <c r="G52" s="25">
        <v>0</v>
      </c>
      <c r="H52" s="25">
        <v>0</v>
      </c>
      <c r="I52" s="25">
        <v>0</v>
      </c>
      <c r="J52" s="25">
        <v>0</v>
      </c>
      <c r="K52" s="45">
        <f>+H52-G52</f>
        <v>0</v>
      </c>
      <c r="L52" s="27"/>
      <c r="M52" s="28"/>
    </row>
    <row r="53" spans="1:13" hidden="1" outlineLevel="1" x14ac:dyDescent="0.25">
      <c r="B53" s="48" t="s">
        <v>50</v>
      </c>
      <c r="C53" s="24"/>
      <c r="D53" s="25"/>
      <c r="E53" s="25">
        <v>0</v>
      </c>
      <c r="F53" s="25">
        <v>60000</v>
      </c>
      <c r="G53" s="25">
        <v>0</v>
      </c>
      <c r="H53" s="25">
        <v>0</v>
      </c>
      <c r="I53" s="25">
        <v>0</v>
      </c>
      <c r="J53" s="25">
        <v>0</v>
      </c>
      <c r="K53" s="45">
        <f>+H53-G53</f>
        <v>0</v>
      </c>
      <c r="L53" s="27"/>
      <c r="M53" s="28"/>
    </row>
    <row r="54" spans="1:13" hidden="1" outlineLevel="1" x14ac:dyDescent="0.25">
      <c r="B54" s="48" t="s">
        <v>51</v>
      </c>
      <c r="C54" s="24"/>
      <c r="D54" s="25"/>
      <c r="E54" s="25">
        <v>0</v>
      </c>
      <c r="F54" s="25">
        <v>24299.06</v>
      </c>
      <c r="G54" s="25">
        <v>0</v>
      </c>
      <c r="H54" s="25">
        <v>0</v>
      </c>
      <c r="I54" s="25">
        <v>0</v>
      </c>
      <c r="J54" s="25">
        <v>0</v>
      </c>
      <c r="K54" s="45">
        <f>+H54-G54</f>
        <v>0</v>
      </c>
      <c r="L54" s="27"/>
      <c r="M54" s="28"/>
    </row>
    <row r="55" spans="1:13" hidden="1" outlineLevel="1" x14ac:dyDescent="0.25">
      <c r="B55" s="51" t="s">
        <v>52</v>
      </c>
      <c r="C55" s="52" t="e">
        <f>SUM(#REF!)</f>
        <v>#REF!</v>
      </c>
      <c r="D55" s="53" t="e">
        <f>SUM(#REF!)</f>
        <v>#REF!</v>
      </c>
      <c r="E55" s="53">
        <f>SUM(E52:E54)</f>
        <v>94000</v>
      </c>
      <c r="F55" s="53">
        <f>SUM(F51:F54)</f>
        <v>508299.06</v>
      </c>
      <c r="G55" s="53">
        <f>SUM(G51:G54)</f>
        <v>0</v>
      </c>
      <c r="H55" s="53">
        <f>SUM(H51:H54)</f>
        <v>0</v>
      </c>
      <c r="I55" s="53">
        <f>SUM(I51:I54)</f>
        <v>0</v>
      </c>
      <c r="J55" s="53">
        <f>SUM(J51:J54)</f>
        <v>0</v>
      </c>
      <c r="K55" s="54">
        <f>+H55-G55</f>
        <v>0</v>
      </c>
      <c r="L55" s="27"/>
      <c r="M55" s="56"/>
    </row>
    <row r="56" spans="1:13" hidden="1" outlineLevel="1" x14ac:dyDescent="0.25">
      <c r="B56" s="51"/>
      <c r="C56" s="52"/>
      <c r="D56" s="53"/>
      <c r="E56" s="53"/>
      <c r="F56" s="53"/>
      <c r="G56" s="53"/>
      <c r="H56" s="53"/>
      <c r="I56" s="53"/>
      <c r="J56" s="53"/>
      <c r="K56" s="57"/>
      <c r="L56" s="58"/>
      <c r="M56" s="56"/>
    </row>
    <row r="57" spans="1:13" collapsed="1" x14ac:dyDescent="0.25">
      <c r="B57" s="29" t="s">
        <v>53</v>
      </c>
      <c r="C57" s="30">
        <f>+C38+C43</f>
        <v>4153353.8195238095</v>
      </c>
      <c r="D57" s="59" t="e">
        <f>+#REF!+D38+D43</f>
        <v>#REF!</v>
      </c>
      <c r="E57" s="59" t="e">
        <f>+#REF!+E38+E43</f>
        <v>#REF!</v>
      </c>
      <c r="F57" s="59">
        <f>F38+F43+F49+F46+F55</f>
        <v>12108496.9</v>
      </c>
      <c r="G57" s="59">
        <f>G38+G43+G49+G46+G55</f>
        <v>12630197.790000001</v>
      </c>
      <c r="H57" s="59">
        <f>H38+H43+H49+H46+H55</f>
        <v>13546713.300000001</v>
      </c>
      <c r="I57" s="59">
        <f>I38+I43+I49+I46+I55</f>
        <v>13607713.300000001</v>
      </c>
      <c r="J57" s="59">
        <f>J38+J43+J49+J46+J55</f>
        <v>14793013.300000001</v>
      </c>
      <c r="K57" s="57">
        <f>+K38+K43+K46+K49+K55</f>
        <v>1185300.0000000009</v>
      </c>
      <c r="L57" s="58">
        <f>+K57/I57</f>
        <v>8.7105009774125747E-2</v>
      </c>
      <c r="M57" s="33"/>
    </row>
    <row r="58" spans="1:13" x14ac:dyDescent="0.25">
      <c r="B58" s="29"/>
      <c r="C58" s="30"/>
      <c r="D58" s="59"/>
      <c r="E58" s="59"/>
      <c r="F58" s="59"/>
      <c r="G58" s="59"/>
      <c r="H58" s="59"/>
      <c r="I58" s="59"/>
      <c r="J58" s="59"/>
      <c r="K58" s="57"/>
      <c r="L58" s="58"/>
      <c r="M58" s="60"/>
    </row>
    <row r="59" spans="1:13" s="61" customFormat="1" x14ac:dyDescent="0.25">
      <c r="A59" s="2"/>
      <c r="B59" s="17" t="s">
        <v>54</v>
      </c>
      <c r="C59" s="35"/>
      <c r="D59" s="36"/>
      <c r="E59" s="36"/>
      <c r="F59" s="36"/>
      <c r="G59" s="36"/>
      <c r="H59" s="36"/>
      <c r="I59" s="36"/>
      <c r="J59" s="36"/>
      <c r="K59" s="37"/>
      <c r="L59" s="38"/>
      <c r="M59" s="39"/>
    </row>
    <row r="60" spans="1:13" hidden="1" outlineLevel="1" x14ac:dyDescent="0.25">
      <c r="B60" s="48" t="s">
        <v>55</v>
      </c>
      <c r="C60" s="24">
        <v>6000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45">
        <f>+I60-H60</f>
        <v>0</v>
      </c>
      <c r="L60" s="46"/>
      <c r="M60" s="28"/>
    </row>
    <row r="61" spans="1:13" hidden="1" outlineLevel="1" x14ac:dyDescent="0.25">
      <c r="B61" s="48" t="s">
        <v>56</v>
      </c>
      <c r="C61" s="24">
        <v>18000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45">
        <f t="shared" ref="K61" si="9">+I61-H61</f>
        <v>0</v>
      </c>
      <c r="L61" s="46"/>
      <c r="M61" s="28"/>
    </row>
    <row r="62" spans="1:13" collapsed="1" x14ac:dyDescent="0.25">
      <c r="B62" s="23" t="s">
        <v>57</v>
      </c>
      <c r="C62" s="24">
        <v>175000</v>
      </c>
      <c r="D62" s="25">
        <v>150000</v>
      </c>
      <c r="E62" s="25">
        <v>150000</v>
      </c>
      <c r="F62" s="25">
        <v>150000</v>
      </c>
      <c r="G62" s="25">
        <v>150000</v>
      </c>
      <c r="H62" s="25">
        <v>150000</v>
      </c>
      <c r="I62" s="25">
        <v>150000</v>
      </c>
      <c r="J62" s="25">
        <v>150000</v>
      </c>
      <c r="K62" s="45">
        <f>+J62-I62</f>
        <v>0</v>
      </c>
      <c r="L62" s="46">
        <f>+K62/I62</f>
        <v>0</v>
      </c>
      <c r="M62" s="28"/>
    </row>
    <row r="63" spans="1:13" x14ac:dyDescent="0.25">
      <c r="B63" s="62" t="s">
        <v>58</v>
      </c>
      <c r="C63" s="24">
        <v>175000</v>
      </c>
      <c r="D63" s="25">
        <v>150000</v>
      </c>
      <c r="E63" s="25">
        <v>150000</v>
      </c>
      <c r="F63" s="25">
        <v>150000</v>
      </c>
      <c r="G63" s="25">
        <v>150000</v>
      </c>
      <c r="H63" s="25">
        <v>150000</v>
      </c>
      <c r="I63" s="25">
        <v>150000</v>
      </c>
      <c r="J63" s="25">
        <v>150000</v>
      </c>
      <c r="K63" s="45">
        <f t="shared" ref="K63:K72" si="10">+J63-I63</f>
        <v>0</v>
      </c>
      <c r="L63" s="46">
        <f t="shared" ref="L63:L72" si="11">+K63/I63</f>
        <v>0</v>
      </c>
      <c r="M63" s="28"/>
    </row>
    <row r="64" spans="1:13" x14ac:dyDescent="0.25">
      <c r="B64" s="62" t="s">
        <v>59</v>
      </c>
      <c r="C64" s="24">
        <v>33576</v>
      </c>
      <c r="D64" s="25">
        <v>7500</v>
      </c>
      <c r="E64" s="25">
        <v>7500</v>
      </c>
      <c r="F64" s="25">
        <v>7500</v>
      </c>
      <c r="G64" s="25">
        <v>6000</v>
      </c>
      <c r="H64" s="25">
        <v>6000</v>
      </c>
      <c r="I64" s="25">
        <v>6000</v>
      </c>
      <c r="J64" s="25">
        <v>6000</v>
      </c>
      <c r="K64" s="45">
        <f t="shared" si="10"/>
        <v>0</v>
      </c>
      <c r="L64" s="46">
        <f t="shared" si="11"/>
        <v>0</v>
      </c>
      <c r="M64" s="28"/>
    </row>
    <row r="65" spans="2:13" x14ac:dyDescent="0.25">
      <c r="B65" s="23" t="s">
        <v>60</v>
      </c>
      <c r="C65" s="24">
        <v>40000</v>
      </c>
      <c r="D65" s="25">
        <v>40000</v>
      </c>
      <c r="E65" s="25">
        <v>40000</v>
      </c>
      <c r="F65" s="25">
        <v>40000</v>
      </c>
      <c r="G65" s="25">
        <v>40000</v>
      </c>
      <c r="H65" s="25">
        <v>40000</v>
      </c>
      <c r="I65" s="25">
        <v>40000</v>
      </c>
      <c r="J65" s="25">
        <v>40000</v>
      </c>
      <c r="K65" s="45">
        <f t="shared" si="10"/>
        <v>0</v>
      </c>
      <c r="L65" s="46">
        <f t="shared" si="11"/>
        <v>0</v>
      </c>
      <c r="M65" s="28"/>
    </row>
    <row r="66" spans="2:13" x14ac:dyDescent="0.25">
      <c r="B66" s="23" t="s">
        <v>61</v>
      </c>
      <c r="C66" s="24">
        <v>6000</v>
      </c>
      <c r="D66" s="25">
        <v>6000</v>
      </c>
      <c r="E66" s="25">
        <v>6000</v>
      </c>
      <c r="F66" s="25">
        <v>6000</v>
      </c>
      <c r="G66" s="25">
        <v>6000</v>
      </c>
      <c r="H66" s="25">
        <v>6000</v>
      </c>
      <c r="I66" s="25">
        <v>6000</v>
      </c>
      <c r="J66" s="25">
        <v>6000</v>
      </c>
      <c r="K66" s="45">
        <f t="shared" si="10"/>
        <v>0</v>
      </c>
      <c r="L66" s="46">
        <f t="shared" si="11"/>
        <v>0</v>
      </c>
      <c r="M66" s="28"/>
    </row>
    <row r="67" spans="2:13" x14ac:dyDescent="0.25">
      <c r="B67" s="23" t="s">
        <v>62</v>
      </c>
      <c r="C67" s="24">
        <v>23351</v>
      </c>
      <c r="D67" s="25">
        <v>23351</v>
      </c>
      <c r="E67" s="25">
        <v>23351</v>
      </c>
      <c r="F67" s="25">
        <v>23351</v>
      </c>
      <c r="G67" s="25">
        <v>23351</v>
      </c>
      <c r="H67" s="25">
        <v>23351</v>
      </c>
      <c r="I67" s="25">
        <v>23351</v>
      </c>
      <c r="J67" s="25">
        <v>23351</v>
      </c>
      <c r="K67" s="45">
        <f t="shared" si="10"/>
        <v>0</v>
      </c>
      <c r="L67" s="46">
        <f t="shared" si="11"/>
        <v>0</v>
      </c>
      <c r="M67" s="28"/>
    </row>
    <row r="68" spans="2:13" x14ac:dyDescent="0.25">
      <c r="B68" s="23" t="s">
        <v>63</v>
      </c>
      <c r="C68" s="24">
        <v>6000</v>
      </c>
      <c r="D68" s="25">
        <v>0</v>
      </c>
      <c r="E68" s="25">
        <v>3000</v>
      </c>
      <c r="F68" s="25">
        <v>3000</v>
      </c>
      <c r="G68" s="25">
        <v>3000</v>
      </c>
      <c r="H68" s="25">
        <v>3000</v>
      </c>
      <c r="I68" s="25">
        <v>3000</v>
      </c>
      <c r="J68" s="25">
        <v>3000</v>
      </c>
      <c r="K68" s="45">
        <f t="shared" si="10"/>
        <v>0</v>
      </c>
      <c r="L68" s="46">
        <f t="shared" si="11"/>
        <v>0</v>
      </c>
      <c r="M68" s="28"/>
    </row>
    <row r="69" spans="2:13" x14ac:dyDescent="0.25">
      <c r="B69" s="23" t="s">
        <v>64</v>
      </c>
      <c r="C69" s="24">
        <v>18000</v>
      </c>
      <c r="D69" s="25">
        <v>18000</v>
      </c>
      <c r="E69" s="25">
        <v>18000</v>
      </c>
      <c r="F69" s="25">
        <v>18000</v>
      </c>
      <c r="G69" s="25">
        <v>18000</v>
      </c>
      <c r="H69" s="25">
        <v>18000</v>
      </c>
      <c r="I69" s="25">
        <v>18000</v>
      </c>
      <c r="J69" s="25">
        <v>18000</v>
      </c>
      <c r="K69" s="45">
        <f>+J69-I69</f>
        <v>0</v>
      </c>
      <c r="L69" s="46">
        <f>+K69/I69</f>
        <v>0</v>
      </c>
      <c r="M69" s="28"/>
    </row>
    <row r="70" spans="2:13" x14ac:dyDescent="0.25">
      <c r="B70" s="48" t="s">
        <v>65</v>
      </c>
      <c r="C70" s="42">
        <v>40000</v>
      </c>
      <c r="D70" s="43">
        <v>0</v>
      </c>
      <c r="E70" s="43">
        <v>0</v>
      </c>
      <c r="F70" s="43">
        <v>0</v>
      </c>
      <c r="G70" s="43">
        <v>36000</v>
      </c>
      <c r="H70" s="43">
        <v>18000</v>
      </c>
      <c r="I70" s="43">
        <v>18000</v>
      </c>
      <c r="J70" s="43">
        <v>18000</v>
      </c>
      <c r="K70" s="45">
        <f>+J70-I70</f>
        <v>0</v>
      </c>
      <c r="L70" s="46">
        <f>+K70/I70</f>
        <v>0</v>
      </c>
      <c r="M70" s="47"/>
    </row>
    <row r="71" spans="2:13" x14ac:dyDescent="0.25">
      <c r="B71" s="23" t="s">
        <v>66</v>
      </c>
      <c r="C71" s="24">
        <v>18000</v>
      </c>
      <c r="D71" s="25">
        <v>18000</v>
      </c>
      <c r="E71" s="25">
        <v>18000</v>
      </c>
      <c r="F71" s="25">
        <v>18000</v>
      </c>
      <c r="G71" s="25">
        <v>18000</v>
      </c>
      <c r="H71" s="25">
        <v>18000</v>
      </c>
      <c r="I71" s="25">
        <v>18000</v>
      </c>
      <c r="J71" s="25">
        <v>18000</v>
      </c>
      <c r="K71" s="45">
        <f t="shared" si="10"/>
        <v>0</v>
      </c>
      <c r="L71" s="46">
        <f t="shared" si="11"/>
        <v>0</v>
      </c>
      <c r="M71" s="28"/>
    </row>
    <row r="72" spans="2:13" x14ac:dyDescent="0.25">
      <c r="B72" s="23" t="s">
        <v>67</v>
      </c>
      <c r="C72" s="24"/>
      <c r="D72" s="25"/>
      <c r="E72" s="25"/>
      <c r="F72" s="25">
        <v>0</v>
      </c>
      <c r="G72" s="25">
        <v>0</v>
      </c>
      <c r="H72" s="25">
        <v>50000</v>
      </c>
      <c r="I72" s="25">
        <v>50000</v>
      </c>
      <c r="J72" s="25">
        <v>50000</v>
      </c>
      <c r="K72" s="45">
        <f t="shared" si="10"/>
        <v>0</v>
      </c>
      <c r="L72" s="46">
        <f t="shared" si="11"/>
        <v>0</v>
      </c>
      <c r="M72" s="28"/>
    </row>
    <row r="73" spans="2:13" x14ac:dyDescent="0.25">
      <c r="B73" s="29" t="s">
        <v>68</v>
      </c>
      <c r="C73" s="30">
        <f t="shared" ref="C73:K73" si="12">SUM(C60:C72)</f>
        <v>558927</v>
      </c>
      <c r="D73" s="59">
        <f t="shared" si="12"/>
        <v>412851</v>
      </c>
      <c r="E73" s="59">
        <f t="shared" si="12"/>
        <v>415851</v>
      </c>
      <c r="F73" s="59">
        <f t="shared" si="12"/>
        <v>415851</v>
      </c>
      <c r="G73" s="59">
        <f t="shared" si="12"/>
        <v>450351</v>
      </c>
      <c r="H73" s="59">
        <f t="shared" si="12"/>
        <v>482351</v>
      </c>
      <c r="I73" s="59">
        <f t="shared" si="12"/>
        <v>482351</v>
      </c>
      <c r="J73" s="59">
        <f t="shared" si="12"/>
        <v>482351</v>
      </c>
      <c r="K73" s="31">
        <f t="shared" si="12"/>
        <v>0</v>
      </c>
      <c r="L73" s="55">
        <f>+K73/I73</f>
        <v>0</v>
      </c>
      <c r="M73" s="60"/>
    </row>
    <row r="74" spans="2:13" x14ac:dyDescent="0.25">
      <c r="B74" s="29"/>
      <c r="C74" s="30"/>
      <c r="D74" s="59"/>
      <c r="E74" s="59"/>
      <c r="F74" s="59"/>
      <c r="G74" s="59"/>
      <c r="H74" s="59"/>
      <c r="I74" s="59"/>
      <c r="J74" s="59"/>
      <c r="K74" s="57"/>
      <c r="L74" s="58"/>
      <c r="M74" s="60"/>
    </row>
    <row r="75" spans="2:13" x14ac:dyDescent="0.25">
      <c r="B75" s="17" t="s">
        <v>69</v>
      </c>
      <c r="C75" s="30"/>
      <c r="D75" s="59"/>
      <c r="E75" s="59"/>
      <c r="F75" s="59"/>
      <c r="G75" s="59"/>
      <c r="H75" s="59"/>
      <c r="I75" s="59"/>
      <c r="J75" s="59"/>
      <c r="K75" s="57"/>
      <c r="L75" s="58"/>
      <c r="M75" s="60"/>
    </row>
    <row r="76" spans="2:13" x14ac:dyDescent="0.25">
      <c r="B76" s="48" t="s">
        <v>70</v>
      </c>
      <c r="C76" s="42">
        <v>0</v>
      </c>
      <c r="D76" s="43">
        <v>400000</v>
      </c>
      <c r="E76" s="43">
        <v>400000</v>
      </c>
      <c r="F76" s="43">
        <v>400000</v>
      </c>
      <c r="G76" s="43">
        <v>400000</v>
      </c>
      <c r="H76" s="43">
        <v>400000</v>
      </c>
      <c r="I76" s="43">
        <v>400000</v>
      </c>
      <c r="J76" s="43">
        <v>400000</v>
      </c>
      <c r="K76" s="45">
        <f>+J76-I76</f>
        <v>0</v>
      </c>
      <c r="L76" s="27">
        <f>+K76/J76</f>
        <v>0</v>
      </c>
      <c r="M76" s="47"/>
    </row>
    <row r="77" spans="2:13" hidden="1" outlineLevel="1" x14ac:dyDescent="0.25">
      <c r="B77" s="48" t="s">
        <v>71</v>
      </c>
      <c r="C77" s="24">
        <v>0</v>
      </c>
      <c r="D77" s="25">
        <v>0</v>
      </c>
      <c r="E77" s="25">
        <v>259133.33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45">
        <f>+H77-G77</f>
        <v>0</v>
      </c>
      <c r="L77" s="27" t="e">
        <f t="shared" ref="L77" si="13">+K77/H77</f>
        <v>#DIV/0!</v>
      </c>
      <c r="M77" s="28"/>
    </row>
    <row r="78" spans="2:13" hidden="1" outlineLevel="1" collapsed="1" x14ac:dyDescent="0.25">
      <c r="B78" s="48" t="s">
        <v>72</v>
      </c>
      <c r="C78" s="24">
        <v>0</v>
      </c>
      <c r="D78" s="25">
        <v>50000</v>
      </c>
      <c r="E78" s="25">
        <v>0</v>
      </c>
      <c r="F78" s="25">
        <v>100000</v>
      </c>
      <c r="G78" s="25">
        <v>0</v>
      </c>
      <c r="H78" s="25">
        <v>0</v>
      </c>
      <c r="I78" s="25">
        <v>0</v>
      </c>
      <c r="J78" s="25">
        <v>0</v>
      </c>
      <c r="K78" s="45">
        <f>+I78-H78</f>
        <v>0</v>
      </c>
      <c r="L78" s="27"/>
      <c r="M78" s="28"/>
    </row>
    <row r="79" spans="2:13" hidden="1" outlineLevel="1" x14ac:dyDescent="0.25">
      <c r="B79" s="48" t="s">
        <v>73</v>
      </c>
      <c r="C79" s="24">
        <v>0</v>
      </c>
      <c r="D79" s="25">
        <v>50000</v>
      </c>
      <c r="E79" s="25">
        <v>50000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45">
        <f>+G79-F79</f>
        <v>0</v>
      </c>
      <c r="L79" s="27" t="e">
        <f>+K79/G79</f>
        <v>#DIV/0!</v>
      </c>
      <c r="M79" s="28"/>
    </row>
    <row r="80" spans="2:13" collapsed="1" x14ac:dyDescent="0.25">
      <c r="B80" s="29" t="s">
        <v>74</v>
      </c>
      <c r="C80" s="30">
        <f t="shared" ref="C80:K80" si="14">SUM(C76:C79)</f>
        <v>0</v>
      </c>
      <c r="D80" s="59">
        <f t="shared" si="14"/>
        <v>500000</v>
      </c>
      <c r="E80" s="59">
        <f t="shared" si="14"/>
        <v>709133.33</v>
      </c>
      <c r="F80" s="59">
        <f t="shared" si="14"/>
        <v>500000</v>
      </c>
      <c r="G80" s="59">
        <f t="shared" si="14"/>
        <v>400000</v>
      </c>
      <c r="H80" s="59">
        <f t="shared" si="14"/>
        <v>400000</v>
      </c>
      <c r="I80" s="59">
        <f t="shared" si="14"/>
        <v>400000</v>
      </c>
      <c r="J80" s="59">
        <f t="shared" si="14"/>
        <v>400000</v>
      </c>
      <c r="K80" s="57">
        <f t="shared" si="14"/>
        <v>0</v>
      </c>
      <c r="L80" s="32">
        <f>+K80/J80</f>
        <v>0</v>
      </c>
      <c r="M80" s="33"/>
    </row>
    <row r="81" spans="2:13" x14ac:dyDescent="0.25">
      <c r="B81" s="29"/>
      <c r="C81" s="30"/>
      <c r="D81" s="59"/>
      <c r="E81" s="59"/>
      <c r="F81" s="59"/>
      <c r="G81" s="59"/>
      <c r="H81" s="59"/>
      <c r="I81" s="59"/>
      <c r="J81" s="59"/>
      <c r="K81" s="57"/>
      <c r="L81" s="58"/>
      <c r="M81" s="33"/>
    </row>
    <row r="82" spans="2:13" x14ac:dyDescent="0.25">
      <c r="B82" s="17" t="s">
        <v>75</v>
      </c>
      <c r="C82" s="63"/>
      <c r="D82" s="64"/>
      <c r="E82" s="64"/>
      <c r="F82" s="64"/>
      <c r="G82" s="64"/>
      <c r="H82" s="64"/>
      <c r="I82" s="64"/>
      <c r="J82" s="64"/>
      <c r="K82" s="65"/>
      <c r="L82" s="27"/>
      <c r="M82" s="66"/>
    </row>
    <row r="83" spans="2:13" hidden="1" outlineLevel="1" x14ac:dyDescent="0.25">
      <c r="B83" s="23" t="s">
        <v>76</v>
      </c>
      <c r="C83" s="24">
        <v>300000</v>
      </c>
      <c r="D83" s="25">
        <v>0</v>
      </c>
      <c r="E83" s="25">
        <v>259133.33</v>
      </c>
      <c r="F83" s="25">
        <v>0</v>
      </c>
      <c r="G83" s="25">
        <v>0</v>
      </c>
      <c r="H83" s="25"/>
      <c r="I83" s="25"/>
      <c r="J83" s="25"/>
      <c r="K83" s="45">
        <f>+G83-F83</f>
        <v>0</v>
      </c>
      <c r="L83" s="27" t="e">
        <f>+K83/F83</f>
        <v>#DIV/0!</v>
      </c>
      <c r="M83" s="28"/>
    </row>
    <row r="84" spans="2:13" hidden="1" outlineLevel="1" x14ac:dyDescent="0.25">
      <c r="B84" s="23" t="s">
        <v>77</v>
      </c>
      <c r="C84" s="24"/>
      <c r="D84" s="25">
        <v>30987.09</v>
      </c>
      <c r="E84" s="25">
        <v>10329.030000000001</v>
      </c>
      <c r="F84" s="25">
        <v>0</v>
      </c>
      <c r="G84" s="25">
        <v>0</v>
      </c>
      <c r="H84" s="25"/>
      <c r="I84" s="25"/>
      <c r="J84" s="25"/>
      <c r="K84" s="45">
        <f>+G84-F84</f>
        <v>0</v>
      </c>
      <c r="L84" s="27" t="e">
        <f>+K84/F84</f>
        <v>#DIV/0!</v>
      </c>
      <c r="M84" s="28"/>
    </row>
    <row r="85" spans="2:13" hidden="1" outlineLevel="2" x14ac:dyDescent="0.25">
      <c r="B85" s="23" t="s">
        <v>78</v>
      </c>
      <c r="C85" s="24"/>
      <c r="D85" s="25">
        <v>0</v>
      </c>
      <c r="E85" s="25">
        <v>0</v>
      </c>
      <c r="F85" s="25">
        <v>0</v>
      </c>
      <c r="G85" s="25">
        <v>0</v>
      </c>
      <c r="H85" s="25"/>
      <c r="I85" s="25"/>
      <c r="J85" s="25"/>
      <c r="K85" s="26">
        <f>+F85-E85</f>
        <v>0</v>
      </c>
      <c r="L85" s="27" t="e">
        <f>+K85/E85</f>
        <v>#DIV/0!</v>
      </c>
      <c r="M85" s="28"/>
    </row>
    <row r="86" spans="2:13" hidden="1" outlineLevel="1" x14ac:dyDescent="0.25">
      <c r="B86" s="23" t="s">
        <v>79</v>
      </c>
      <c r="C86" s="24"/>
      <c r="D86" s="25">
        <v>0</v>
      </c>
      <c r="E86" s="25">
        <v>61333.17</v>
      </c>
      <c r="F86" s="25">
        <v>0</v>
      </c>
      <c r="G86" s="25">
        <v>0</v>
      </c>
      <c r="H86" s="25"/>
      <c r="I86" s="25"/>
      <c r="J86" s="25"/>
      <c r="K86" s="45">
        <f>+G86-F86</f>
        <v>0</v>
      </c>
      <c r="L86" s="27" t="e">
        <f>+K86/F86</f>
        <v>#DIV/0!</v>
      </c>
      <c r="M86" s="28"/>
    </row>
    <row r="87" spans="2:13" hidden="1" outlineLevel="1" x14ac:dyDescent="0.25">
      <c r="B87" s="23" t="s">
        <v>80</v>
      </c>
      <c r="C87" s="24"/>
      <c r="D87" s="25">
        <v>0</v>
      </c>
      <c r="E87" s="25">
        <v>43258.15</v>
      </c>
      <c r="F87" s="25">
        <v>0</v>
      </c>
      <c r="G87" s="25">
        <v>0</v>
      </c>
      <c r="H87" s="25"/>
      <c r="I87" s="25"/>
      <c r="J87" s="25"/>
      <c r="K87" s="45">
        <f>+G87-F87</f>
        <v>0</v>
      </c>
      <c r="L87" s="27" t="e">
        <f>+K87/F87</f>
        <v>#DIV/0!</v>
      </c>
      <c r="M87" s="28"/>
    </row>
    <row r="88" spans="2:13" collapsed="1" x14ac:dyDescent="0.25">
      <c r="B88" s="23" t="s">
        <v>81</v>
      </c>
      <c r="C88" s="24"/>
      <c r="D88" s="25"/>
      <c r="E88" s="25"/>
      <c r="F88" s="25">
        <v>0</v>
      </c>
      <c r="G88" s="25">
        <v>26449.4</v>
      </c>
      <c r="H88" s="25">
        <v>0</v>
      </c>
      <c r="I88" s="25">
        <v>28310</v>
      </c>
      <c r="J88" s="25">
        <v>28310</v>
      </c>
      <c r="K88" s="45">
        <f>+J88-I88</f>
        <v>0</v>
      </c>
      <c r="L88" s="27">
        <f>+K88/I88</f>
        <v>0</v>
      </c>
      <c r="M88" s="28"/>
    </row>
    <row r="89" spans="2:13" x14ac:dyDescent="0.25">
      <c r="B89" s="23" t="s">
        <v>82</v>
      </c>
      <c r="C89" s="24"/>
      <c r="D89" s="25"/>
      <c r="E89" s="25"/>
      <c r="F89" s="25">
        <v>0</v>
      </c>
      <c r="G89" s="25">
        <v>30768</v>
      </c>
      <c r="H89" s="25">
        <v>77441.539999999994</v>
      </c>
      <c r="I89" s="25">
        <v>77441.539999999994</v>
      </c>
      <c r="J89" s="25">
        <v>77441.539999999994</v>
      </c>
      <c r="K89" s="45">
        <f t="shared" ref="K89:K92" si="15">+J89-I89</f>
        <v>0</v>
      </c>
      <c r="L89" s="27">
        <f>+K89/I89</f>
        <v>0</v>
      </c>
      <c r="M89" s="28"/>
    </row>
    <row r="90" spans="2:13" x14ac:dyDescent="0.25">
      <c r="B90" s="23" t="s">
        <v>83</v>
      </c>
      <c r="C90" s="24"/>
      <c r="D90" s="25"/>
      <c r="E90" s="25"/>
      <c r="F90" s="25">
        <v>0</v>
      </c>
      <c r="G90" s="25">
        <v>0</v>
      </c>
      <c r="H90" s="25">
        <v>43840.18</v>
      </c>
      <c r="I90" s="25">
        <v>43840.18</v>
      </c>
      <c r="J90" s="25">
        <v>0</v>
      </c>
      <c r="K90" s="45">
        <f t="shared" si="15"/>
        <v>-43840.18</v>
      </c>
      <c r="L90" s="27">
        <f>+K90/I90</f>
        <v>-1</v>
      </c>
      <c r="M90" s="28"/>
    </row>
    <row r="91" spans="2:13" x14ac:dyDescent="0.25">
      <c r="B91" s="23" t="s">
        <v>84</v>
      </c>
      <c r="C91" s="24"/>
      <c r="D91" s="25">
        <v>0</v>
      </c>
      <c r="E91" s="25"/>
      <c r="F91" s="25">
        <v>0</v>
      </c>
      <c r="G91" s="25">
        <v>32823.599999999999</v>
      </c>
      <c r="H91" s="25">
        <v>50451.75</v>
      </c>
      <c r="I91" s="25">
        <v>50451.75</v>
      </c>
      <c r="J91" s="25">
        <v>50451.75</v>
      </c>
      <c r="K91" s="45">
        <f t="shared" si="15"/>
        <v>0</v>
      </c>
      <c r="L91" s="27">
        <f t="shared" ref="L91" si="16">+K91/I91</f>
        <v>0</v>
      </c>
      <c r="M91" s="28"/>
    </row>
    <row r="92" spans="2:13" x14ac:dyDescent="0.25">
      <c r="B92" s="23" t="s">
        <v>85</v>
      </c>
      <c r="C92" s="24"/>
      <c r="D92" s="25"/>
      <c r="E92" s="25"/>
      <c r="F92" s="25"/>
      <c r="G92" s="25"/>
      <c r="H92" s="25"/>
      <c r="I92" s="25">
        <v>0</v>
      </c>
      <c r="J92" s="25">
        <f>45000/1.065</f>
        <v>42253.521126760563</v>
      </c>
      <c r="K92" s="45">
        <f t="shared" si="15"/>
        <v>42253.521126760563</v>
      </c>
      <c r="L92" s="27"/>
      <c r="M92" s="28"/>
    </row>
    <row r="93" spans="2:13" x14ac:dyDescent="0.25">
      <c r="B93" s="29" t="s">
        <v>86</v>
      </c>
      <c r="C93" s="30">
        <f t="shared" ref="C93:J93" si="17">SUM(C83:C92)</f>
        <v>300000</v>
      </c>
      <c r="D93" s="59">
        <f t="shared" si="17"/>
        <v>30987.09</v>
      </c>
      <c r="E93" s="59">
        <f t="shared" si="17"/>
        <v>374053.68</v>
      </c>
      <c r="F93" s="59">
        <f t="shared" si="17"/>
        <v>0</v>
      </c>
      <c r="G93" s="59">
        <f t="shared" si="17"/>
        <v>90041</v>
      </c>
      <c r="H93" s="59">
        <f t="shared" si="17"/>
        <v>171733.47</v>
      </c>
      <c r="I93" s="59">
        <f t="shared" si="17"/>
        <v>200043.47</v>
      </c>
      <c r="J93" s="59">
        <f t="shared" si="17"/>
        <v>198456.81112676056</v>
      </c>
      <c r="K93" s="57">
        <f>SUM(K84:K92)</f>
        <v>-1586.6588732394375</v>
      </c>
      <c r="L93" s="32">
        <f>+K93/I93</f>
        <v>-7.9315704393621914E-3</v>
      </c>
      <c r="M93" s="33"/>
    </row>
    <row r="94" spans="2:13" x14ac:dyDescent="0.25">
      <c r="B94" s="29"/>
      <c r="C94" s="67"/>
      <c r="D94" s="68"/>
      <c r="E94" s="68"/>
      <c r="F94" s="68"/>
      <c r="G94" s="68"/>
      <c r="H94" s="68"/>
      <c r="I94" s="68"/>
      <c r="J94" s="68"/>
      <c r="K94" s="69"/>
      <c r="L94" s="58"/>
      <c r="M94" s="60"/>
    </row>
    <row r="95" spans="2:13" x14ac:dyDescent="0.25">
      <c r="B95" s="17" t="s">
        <v>87</v>
      </c>
      <c r="C95" s="70"/>
      <c r="D95" s="71"/>
      <c r="E95" s="71"/>
      <c r="F95" s="71"/>
      <c r="G95" s="71"/>
      <c r="H95" s="71"/>
      <c r="I95" s="71"/>
      <c r="J95" s="71"/>
      <c r="K95" s="72"/>
      <c r="L95" s="27"/>
      <c r="M95" s="66"/>
    </row>
    <row r="96" spans="2:13" x14ac:dyDescent="0.25">
      <c r="B96" s="48" t="s">
        <v>88</v>
      </c>
      <c r="C96" s="42">
        <v>25000</v>
      </c>
      <c r="D96" s="43">
        <v>100000</v>
      </c>
      <c r="E96" s="43">
        <v>100000</v>
      </c>
      <c r="F96" s="43">
        <v>100000</v>
      </c>
      <c r="G96" s="43">
        <v>70000</v>
      </c>
      <c r="H96" s="43">
        <v>70000</v>
      </c>
      <c r="I96" s="43">
        <v>70000</v>
      </c>
      <c r="J96" s="43">
        <v>0</v>
      </c>
      <c r="K96" s="45">
        <f>+J96-I96</f>
        <v>-70000</v>
      </c>
      <c r="L96" s="46">
        <f>+K96/I96</f>
        <v>-1</v>
      </c>
      <c r="M96" s="47"/>
    </row>
    <row r="97" spans="2:13" hidden="1" outlineLevel="1" x14ac:dyDescent="0.25">
      <c r="B97" s="48" t="s">
        <v>89</v>
      </c>
      <c r="C97" s="24">
        <v>0</v>
      </c>
      <c r="D97" s="25">
        <v>30000</v>
      </c>
      <c r="E97" s="25">
        <v>30000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45">
        <f>+G97-F97</f>
        <v>0</v>
      </c>
      <c r="L97" s="46" t="e">
        <f>+K97/F97</f>
        <v>#DIV/0!</v>
      </c>
      <c r="M97" s="28"/>
    </row>
    <row r="98" spans="2:13" collapsed="1" x14ac:dyDescent="0.25">
      <c r="B98" s="29" t="s">
        <v>90</v>
      </c>
      <c r="C98" s="30">
        <f t="shared" ref="C98:J98" si="18">SUM(C96:C97)</f>
        <v>25000</v>
      </c>
      <c r="D98" s="59">
        <f t="shared" si="18"/>
        <v>130000</v>
      </c>
      <c r="E98" s="59">
        <f t="shared" si="18"/>
        <v>130000</v>
      </c>
      <c r="F98" s="59">
        <f t="shared" si="18"/>
        <v>100000</v>
      </c>
      <c r="G98" s="59">
        <f t="shared" si="18"/>
        <v>70000</v>
      </c>
      <c r="H98" s="59">
        <f t="shared" si="18"/>
        <v>70000</v>
      </c>
      <c r="I98" s="59">
        <f t="shared" si="18"/>
        <v>70000</v>
      </c>
      <c r="J98" s="59">
        <f t="shared" si="18"/>
        <v>0</v>
      </c>
      <c r="K98" s="57">
        <f>SUM(K94:K97)</f>
        <v>-70000</v>
      </c>
      <c r="L98" s="58">
        <f>+K98/I98</f>
        <v>-1</v>
      </c>
      <c r="M98" s="33"/>
    </row>
    <row r="99" spans="2:13" x14ac:dyDescent="0.25">
      <c r="B99" s="29"/>
      <c r="C99" s="67"/>
      <c r="D99" s="68"/>
      <c r="E99" s="68"/>
      <c r="F99" s="68"/>
      <c r="G99" s="68"/>
      <c r="H99" s="68"/>
      <c r="I99" s="68"/>
      <c r="J99" s="68"/>
      <c r="K99" s="69"/>
      <c r="L99" s="58"/>
      <c r="M99" s="60"/>
    </row>
    <row r="100" spans="2:13" x14ac:dyDescent="0.25">
      <c r="B100" s="17" t="s">
        <v>91</v>
      </c>
      <c r="C100" s="67"/>
      <c r="D100" s="68"/>
      <c r="E100" s="68"/>
      <c r="F100" s="68"/>
      <c r="G100" s="68"/>
      <c r="H100" s="68"/>
      <c r="I100" s="68"/>
      <c r="J100" s="68"/>
      <c r="K100" s="69"/>
      <c r="L100" s="58"/>
      <c r="M100" s="60"/>
    </row>
    <row r="101" spans="2:13" x14ac:dyDescent="0.25">
      <c r="B101" s="23" t="s">
        <v>92</v>
      </c>
      <c r="C101" s="24">
        <v>4000</v>
      </c>
      <c r="D101" s="25">
        <v>3000</v>
      </c>
      <c r="E101" s="25">
        <v>3000</v>
      </c>
      <c r="F101" s="25">
        <v>3000</v>
      </c>
      <c r="G101" s="25">
        <v>3000</v>
      </c>
      <c r="H101" s="25">
        <v>3000</v>
      </c>
      <c r="I101" s="25">
        <v>3000</v>
      </c>
      <c r="J101" s="25">
        <v>3000</v>
      </c>
      <c r="K101" s="45">
        <f>+J101-I101</f>
        <v>0</v>
      </c>
      <c r="L101" s="46">
        <f>+K101/I101</f>
        <v>0</v>
      </c>
      <c r="M101" s="28"/>
    </row>
    <row r="102" spans="2:13" x14ac:dyDescent="0.25">
      <c r="B102" s="23" t="s">
        <v>93</v>
      </c>
      <c r="C102" s="24">
        <v>96801.16</v>
      </c>
      <c r="D102" s="25">
        <v>5826.05</v>
      </c>
      <c r="E102" s="25">
        <v>5826.05</v>
      </c>
      <c r="F102" s="25">
        <v>5840.49</v>
      </c>
      <c r="G102" s="25">
        <v>5824.53</v>
      </c>
      <c r="H102" s="25">
        <v>5824.53</v>
      </c>
      <c r="I102" s="25">
        <v>5824.53</v>
      </c>
      <c r="J102" s="25">
        <v>5824.53</v>
      </c>
      <c r="K102" s="45">
        <f>+J102-I102</f>
        <v>0</v>
      </c>
      <c r="L102" s="46">
        <f>+K102/I102</f>
        <v>0</v>
      </c>
      <c r="M102" s="28"/>
    </row>
    <row r="103" spans="2:13" x14ac:dyDescent="0.25">
      <c r="B103" s="29" t="s">
        <v>94</v>
      </c>
      <c r="C103" s="30">
        <f t="shared" ref="C103:J103" si="19">SUM(C101:C102)</f>
        <v>100801.16</v>
      </c>
      <c r="D103" s="59">
        <f t="shared" si="19"/>
        <v>8826.0499999999993</v>
      </c>
      <c r="E103" s="59">
        <f t="shared" si="19"/>
        <v>8826.0499999999993</v>
      </c>
      <c r="F103" s="59">
        <f t="shared" si="19"/>
        <v>8840.49</v>
      </c>
      <c r="G103" s="59">
        <f t="shared" si="19"/>
        <v>8824.5299999999988</v>
      </c>
      <c r="H103" s="59">
        <f t="shared" si="19"/>
        <v>8824.5299999999988</v>
      </c>
      <c r="I103" s="59">
        <f t="shared" si="19"/>
        <v>8824.5299999999988</v>
      </c>
      <c r="J103" s="59">
        <f t="shared" si="19"/>
        <v>8824.5299999999988</v>
      </c>
      <c r="K103" s="57">
        <f>SUM(K99:K102)</f>
        <v>0</v>
      </c>
      <c r="L103" s="55">
        <f>+K103/I103</f>
        <v>0</v>
      </c>
      <c r="M103" s="33"/>
    </row>
    <row r="104" spans="2:13" x14ac:dyDescent="0.25">
      <c r="B104" s="29"/>
      <c r="C104" s="30"/>
      <c r="D104" s="59"/>
      <c r="E104" s="59"/>
      <c r="F104" s="59"/>
      <c r="G104" s="59"/>
      <c r="H104" s="59"/>
      <c r="I104" s="59"/>
      <c r="J104" s="59"/>
      <c r="K104" s="57"/>
      <c r="L104" s="58"/>
      <c r="M104" s="33"/>
    </row>
    <row r="105" spans="2:13" ht="16.5" thickBot="1" x14ac:dyDescent="0.3">
      <c r="B105" s="73" t="s">
        <v>95</v>
      </c>
      <c r="C105" s="74">
        <f t="shared" ref="C105:K105" si="20">+C22+C57+C93+C98+C103+C73+C80</f>
        <v>5813081.9755238099</v>
      </c>
      <c r="D105" s="74" t="e">
        <f t="shared" si="20"/>
        <v>#REF!</v>
      </c>
      <c r="E105" s="74" t="e">
        <f t="shared" si="20"/>
        <v>#REF!</v>
      </c>
      <c r="F105" s="74">
        <f t="shared" si="20"/>
        <v>13870906.75</v>
      </c>
      <c r="G105" s="74">
        <f t="shared" si="20"/>
        <v>14386343.560000001</v>
      </c>
      <c r="H105" s="74">
        <f t="shared" si="20"/>
        <v>15410910.460000001</v>
      </c>
      <c r="I105" s="74">
        <f t="shared" si="20"/>
        <v>15480905.5</v>
      </c>
      <c r="J105" s="74">
        <f t="shared" si="20"/>
        <v>16673994.041126762</v>
      </c>
      <c r="K105" s="74">
        <f t="shared" si="20"/>
        <v>1193088.5411267614</v>
      </c>
      <c r="L105" s="75">
        <f>+K105/I105</f>
        <v>7.7068395070738038E-2</v>
      </c>
      <c r="M105" s="33"/>
    </row>
    <row r="106" spans="2:13" ht="17.25" thickTop="1" thickBot="1" x14ac:dyDescent="0.3">
      <c r="B106" s="76"/>
      <c r="C106" s="71"/>
      <c r="D106" s="71"/>
      <c r="E106" s="71"/>
      <c r="F106" s="71"/>
      <c r="G106" s="71"/>
      <c r="H106" s="77"/>
      <c r="I106" s="77"/>
      <c r="J106" s="77"/>
      <c r="K106" s="78"/>
      <c r="L106" s="27"/>
      <c r="M106" s="66"/>
    </row>
    <row r="107" spans="2:13" ht="16.5" thickTop="1" x14ac:dyDescent="0.25">
      <c r="B107" s="79" t="s">
        <v>96</v>
      </c>
      <c r="C107" s="80" t="str">
        <f t="shared" ref="C107:L107" si="21">+C9</f>
        <v>PPTO INICIAL 2012</v>
      </c>
      <c r="D107" s="80" t="str">
        <f t="shared" si="21"/>
        <v>PPTO INICIAL 2014</v>
      </c>
      <c r="E107" s="80" t="str">
        <f t="shared" si="21"/>
        <v>PPTO INICIAL 2015</v>
      </c>
      <c r="F107" s="80" t="str">
        <f t="shared" si="21"/>
        <v>PPTO INICIAL 2016</v>
      </c>
      <c r="G107" s="80" t="str">
        <f t="shared" si="21"/>
        <v>PPTO INICIAL 2017</v>
      </c>
      <c r="H107" s="80" t="str">
        <f t="shared" si="21"/>
        <v>PPTO INICIAL 2018</v>
      </c>
      <c r="I107" s="80" t="str">
        <f t="shared" si="21"/>
        <v>PPTO INICIAL 2019</v>
      </c>
      <c r="J107" s="80" t="str">
        <f t="shared" si="21"/>
        <v>PPTO INICIAL 2020</v>
      </c>
      <c r="K107" s="81" t="str">
        <f t="shared" si="21"/>
        <v>VARIACIÓN €</v>
      </c>
      <c r="L107" s="82" t="str">
        <f t="shared" si="21"/>
        <v>VAR. %</v>
      </c>
      <c r="M107" s="33"/>
    </row>
    <row r="108" spans="2:13" x14ac:dyDescent="0.25">
      <c r="B108" s="37" t="s">
        <v>97</v>
      </c>
      <c r="C108" s="25">
        <f t="shared" ref="C108:J108" si="22">+C105</f>
        <v>5813081.9755238099</v>
      </c>
      <c r="D108" s="25" t="e">
        <f t="shared" si="22"/>
        <v>#REF!</v>
      </c>
      <c r="E108" s="25" t="e">
        <f t="shared" si="22"/>
        <v>#REF!</v>
      </c>
      <c r="F108" s="25">
        <f t="shared" si="22"/>
        <v>13870906.75</v>
      </c>
      <c r="G108" s="25">
        <f t="shared" si="22"/>
        <v>14386343.560000001</v>
      </c>
      <c r="H108" s="25">
        <f t="shared" si="22"/>
        <v>15410910.460000001</v>
      </c>
      <c r="I108" s="25">
        <f t="shared" si="22"/>
        <v>15480905.5</v>
      </c>
      <c r="J108" s="25">
        <f t="shared" si="22"/>
        <v>16673994.041126762</v>
      </c>
      <c r="K108" s="83">
        <f>+J108-I108</f>
        <v>1193088.5411267616</v>
      </c>
      <c r="L108" s="27">
        <f>+K108/I108</f>
        <v>7.7068395070738052E-2</v>
      </c>
      <c r="M108" s="66"/>
    </row>
    <row r="109" spans="2:13" x14ac:dyDescent="0.25">
      <c r="B109" s="37" t="s">
        <v>98</v>
      </c>
      <c r="C109" s="25" t="e">
        <f t="shared" ref="C109:J109" si="23">+C157</f>
        <v>#REF!</v>
      </c>
      <c r="D109" s="25" t="e">
        <f t="shared" si="23"/>
        <v>#REF!</v>
      </c>
      <c r="E109" s="25">
        <f t="shared" si="23"/>
        <v>12622753.08</v>
      </c>
      <c r="F109" s="25">
        <f t="shared" si="23"/>
        <v>13870906.75</v>
      </c>
      <c r="G109" s="25">
        <f t="shared" si="23"/>
        <v>14386343.560000001</v>
      </c>
      <c r="H109" s="25">
        <f t="shared" si="23"/>
        <v>15410910.460000001</v>
      </c>
      <c r="I109" s="25">
        <f t="shared" si="23"/>
        <v>15480905.5</v>
      </c>
      <c r="J109" s="25">
        <f t="shared" si="23"/>
        <v>16673994.041126762</v>
      </c>
      <c r="K109" s="83">
        <f>+J109-I109</f>
        <v>1193088.5411267616</v>
      </c>
      <c r="L109" s="27">
        <f>+K109/I109</f>
        <v>7.7068395070738052E-2</v>
      </c>
      <c r="M109" s="66"/>
    </row>
    <row r="110" spans="2:13" ht="16.5" thickBot="1" x14ac:dyDescent="0.3">
      <c r="B110" s="84" t="s">
        <v>99</v>
      </c>
      <c r="C110" s="85" t="e">
        <f t="shared" ref="C110:J110" si="24">+C108-C109</f>
        <v>#REF!</v>
      </c>
      <c r="D110" s="85" t="e">
        <f t="shared" si="24"/>
        <v>#REF!</v>
      </c>
      <c r="E110" s="85" t="e">
        <f t="shared" si="24"/>
        <v>#REF!</v>
      </c>
      <c r="F110" s="85">
        <f t="shared" si="24"/>
        <v>0</v>
      </c>
      <c r="G110" s="85">
        <f t="shared" si="24"/>
        <v>0</v>
      </c>
      <c r="H110" s="85">
        <f t="shared" si="24"/>
        <v>0</v>
      </c>
      <c r="I110" s="85">
        <f t="shared" si="24"/>
        <v>0</v>
      </c>
      <c r="J110" s="85">
        <f t="shared" si="24"/>
        <v>0</v>
      </c>
      <c r="K110" s="86">
        <f>+I110-H110</f>
        <v>0</v>
      </c>
      <c r="L110" s="87" t="e">
        <f>+K110/I110</f>
        <v>#DIV/0!</v>
      </c>
      <c r="M110" s="88"/>
    </row>
    <row r="111" spans="2:13" ht="16.5" thickTop="1" x14ac:dyDescent="0.25">
      <c r="B111" s="89"/>
      <c r="C111" s="77"/>
      <c r="D111" s="77"/>
      <c r="E111" s="77"/>
      <c r="F111" s="77"/>
      <c r="G111" s="77"/>
      <c r="H111" s="77"/>
      <c r="I111" s="77"/>
      <c r="J111" s="77"/>
      <c r="K111" s="77"/>
      <c r="L111" s="90"/>
      <c r="M111" s="28"/>
    </row>
    <row r="112" spans="2:13" ht="21" x14ac:dyDescent="0.35">
      <c r="B112" s="163" t="s">
        <v>0</v>
      </c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"/>
    </row>
    <row r="114" spans="2:13" ht="18.75" x14ac:dyDescent="0.3">
      <c r="B114" s="164" t="s">
        <v>100</v>
      </c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3"/>
    </row>
    <row r="115" spans="2:13" ht="16.5" thickBot="1" x14ac:dyDescent="0.3"/>
    <row r="116" spans="2:13" ht="57" thickTop="1" x14ac:dyDescent="0.25">
      <c r="B116" s="6" t="s">
        <v>2</v>
      </c>
      <c r="C116" s="93" t="str">
        <f t="shared" ref="C116:L116" si="25">+C9</f>
        <v>PPTO INICIAL 2012</v>
      </c>
      <c r="D116" s="94" t="str">
        <f t="shared" si="25"/>
        <v>PPTO INICIAL 2014</v>
      </c>
      <c r="E116" s="8" t="str">
        <f t="shared" si="25"/>
        <v>PPTO INICIAL 2015</v>
      </c>
      <c r="F116" s="8" t="str">
        <f t="shared" si="25"/>
        <v>PPTO INICIAL 2016</v>
      </c>
      <c r="G116" s="95" t="str">
        <f t="shared" si="25"/>
        <v>PPTO INICIAL 2017</v>
      </c>
      <c r="H116" s="95" t="str">
        <f t="shared" si="25"/>
        <v>PPTO INICIAL 2018</v>
      </c>
      <c r="I116" s="95" t="str">
        <f t="shared" si="25"/>
        <v>PPTO INICIAL 2019</v>
      </c>
      <c r="J116" s="95" t="str">
        <f t="shared" si="25"/>
        <v>PPTO INICIAL 2020</v>
      </c>
      <c r="K116" s="9" t="str">
        <f t="shared" si="25"/>
        <v>VARIACIÓN €</v>
      </c>
      <c r="L116" s="10" t="str">
        <f t="shared" si="25"/>
        <v>VAR. %</v>
      </c>
      <c r="M116" s="11"/>
    </row>
    <row r="117" spans="2:13" ht="18.75" x14ac:dyDescent="0.25">
      <c r="B117" s="12"/>
      <c r="C117" s="96"/>
      <c r="D117" s="97"/>
      <c r="E117" s="98"/>
      <c r="F117" s="98"/>
      <c r="G117" s="99"/>
      <c r="H117" s="98"/>
      <c r="I117" s="98"/>
      <c r="J117" s="98"/>
      <c r="K117" s="15"/>
      <c r="L117" s="16"/>
      <c r="M117" s="11"/>
    </row>
    <row r="118" spans="2:13" ht="18.75" x14ac:dyDescent="0.3">
      <c r="B118" s="17" t="s">
        <v>101</v>
      </c>
      <c r="C118" s="100"/>
      <c r="D118" s="101"/>
      <c r="E118" s="102"/>
      <c r="F118" s="102"/>
      <c r="G118" s="103"/>
      <c r="H118" s="102"/>
      <c r="I118" s="102"/>
      <c r="J118" s="102"/>
      <c r="K118" s="104"/>
      <c r="L118" s="21"/>
      <c r="M118" s="22"/>
    </row>
    <row r="119" spans="2:13" x14ac:dyDescent="0.25">
      <c r="B119" s="29" t="s">
        <v>102</v>
      </c>
      <c r="C119" s="105">
        <v>332727.38</v>
      </c>
      <c r="D119" s="106">
        <v>402727.38</v>
      </c>
      <c r="E119" s="59">
        <v>410781.93</v>
      </c>
      <c r="F119" s="59">
        <v>418411.23</v>
      </c>
      <c r="G119" s="107">
        <v>401086</v>
      </c>
      <c r="H119" s="107">
        <v>400000</v>
      </c>
      <c r="I119" s="107">
        <v>404000</v>
      </c>
      <c r="J119" s="107">
        <v>404000</v>
      </c>
      <c r="K119" s="57">
        <f>+J119-I119</f>
        <v>0</v>
      </c>
      <c r="L119" s="108">
        <f>+K119/I119</f>
        <v>0</v>
      </c>
      <c r="M119" s="109"/>
    </row>
    <row r="120" spans="2:13" x14ac:dyDescent="0.25">
      <c r="B120" s="29" t="s">
        <v>103</v>
      </c>
      <c r="C120" s="105">
        <v>178058.71</v>
      </c>
      <c r="D120" s="106">
        <v>93026.37</v>
      </c>
      <c r="E120" s="59">
        <v>103216.16</v>
      </c>
      <c r="F120" s="59">
        <v>90969.62</v>
      </c>
      <c r="G120" s="107">
        <v>77739.77</v>
      </c>
      <c r="H120" s="59">
        <v>49469.55</v>
      </c>
      <c r="I120" s="59">
        <v>43144.72</v>
      </c>
      <c r="J120" s="59">
        <v>45797.58</v>
      </c>
      <c r="K120" s="57">
        <f>+J120-I120</f>
        <v>2652.8600000000006</v>
      </c>
      <c r="L120" s="108">
        <f>+K120/I120</f>
        <v>6.1487477494349262E-2</v>
      </c>
      <c r="M120" s="109"/>
    </row>
    <row r="121" spans="2:13" x14ac:dyDescent="0.25">
      <c r="B121" s="29"/>
      <c r="C121" s="105"/>
      <c r="D121" s="106"/>
      <c r="E121" s="59"/>
      <c r="F121" s="59"/>
      <c r="G121" s="107"/>
      <c r="H121" s="59"/>
      <c r="I121" s="59"/>
      <c r="J121" s="59"/>
      <c r="K121" s="57"/>
      <c r="L121" s="108"/>
      <c r="M121" s="109"/>
    </row>
    <row r="122" spans="2:13" x14ac:dyDescent="0.25">
      <c r="B122" s="48" t="s">
        <v>104</v>
      </c>
      <c r="C122" s="110">
        <v>1458107.2876135607</v>
      </c>
      <c r="D122" s="111">
        <v>1475362.99</v>
      </c>
      <c r="E122" s="43">
        <f>1475362.99+35000</f>
        <v>1510362.99</v>
      </c>
      <c r="F122" s="43">
        <v>1510569.56</v>
      </c>
      <c r="G122" s="112">
        <v>1566027.93</v>
      </c>
      <c r="H122" s="112">
        <f>1665256.15-21000</f>
        <v>1644256.15</v>
      </c>
      <c r="I122" s="112">
        <f>1681099.46-36000</f>
        <v>1645099.46</v>
      </c>
      <c r="J122" s="112">
        <v>1765547.27</v>
      </c>
      <c r="K122" s="45">
        <f>+J122-I122</f>
        <v>120447.81000000006</v>
      </c>
      <c r="L122" s="46">
        <f>+K122/I122</f>
        <v>7.3216126397610062E-2</v>
      </c>
      <c r="M122" s="47"/>
    </row>
    <row r="123" spans="2:13" x14ac:dyDescent="0.25">
      <c r="B123" s="48" t="s">
        <v>105</v>
      </c>
      <c r="C123" s="110">
        <v>432832.76000216795</v>
      </c>
      <c r="D123" s="111">
        <v>443242.91</v>
      </c>
      <c r="E123" s="43">
        <v>443242.91</v>
      </c>
      <c r="F123" s="43">
        <v>459469.68</v>
      </c>
      <c r="G123" s="112">
        <v>472645.81</v>
      </c>
      <c r="H123" s="112">
        <v>508610.62999999995</v>
      </c>
      <c r="I123" s="112">
        <v>462516.34</v>
      </c>
      <c r="J123" s="112">
        <v>518005.47</v>
      </c>
      <c r="K123" s="45">
        <f t="shared" ref="K123:K124" si="26">+J123-I123</f>
        <v>55489.129999999946</v>
      </c>
      <c r="L123" s="46">
        <f t="shared" ref="L123:L124" si="27">+K123/I123</f>
        <v>0.11997225870982189</v>
      </c>
      <c r="M123" s="113"/>
    </row>
    <row r="124" spans="2:13" x14ac:dyDescent="0.25">
      <c r="B124" s="48" t="s">
        <v>106</v>
      </c>
      <c r="C124" s="110"/>
      <c r="D124" s="111"/>
      <c r="E124" s="43"/>
      <c r="F124" s="43">
        <v>0</v>
      </c>
      <c r="G124" s="112">
        <v>0</v>
      </c>
      <c r="H124" s="112">
        <f>95000+21000</f>
        <v>116000</v>
      </c>
      <c r="I124" s="112">
        <v>36000</v>
      </c>
      <c r="J124" s="112">
        <v>21000</v>
      </c>
      <c r="K124" s="45">
        <f t="shared" si="26"/>
        <v>-15000</v>
      </c>
      <c r="L124" s="46">
        <f t="shared" si="27"/>
        <v>-0.41666666666666669</v>
      </c>
      <c r="M124" s="113"/>
    </row>
    <row r="125" spans="2:13" x14ac:dyDescent="0.25">
      <c r="B125" s="29" t="s">
        <v>107</v>
      </c>
      <c r="C125" s="105">
        <f>SUM(C122:C123)</f>
        <v>1890940.0476157286</v>
      </c>
      <c r="D125" s="106">
        <f>SUM(D122:D123)</f>
        <v>1918605.9</v>
      </c>
      <c r="E125" s="59">
        <f>SUM(E122:E123)</f>
        <v>1953605.9</v>
      </c>
      <c r="F125" s="59">
        <f>SUM(F122:F124)</f>
        <v>1970039.24</v>
      </c>
      <c r="G125" s="107">
        <f>SUM(G122:G124)</f>
        <v>2038673.74</v>
      </c>
      <c r="H125" s="107">
        <f>SUM(H122:H124)</f>
        <v>2268866.7799999998</v>
      </c>
      <c r="I125" s="107">
        <f>SUM(I122:I124)</f>
        <v>2143615.7999999998</v>
      </c>
      <c r="J125" s="107">
        <f>SUM(J122:J124)</f>
        <v>2304552.7400000002</v>
      </c>
      <c r="K125" s="57">
        <f>+J125-I125</f>
        <v>160936.94000000041</v>
      </c>
      <c r="L125" s="55">
        <f>+K125/I125</f>
        <v>7.5077324957205677E-2</v>
      </c>
      <c r="M125" s="114"/>
    </row>
    <row r="126" spans="2:13" x14ac:dyDescent="0.25">
      <c r="B126" s="115"/>
      <c r="C126" s="78"/>
      <c r="D126" s="116"/>
      <c r="E126" s="71"/>
      <c r="F126" s="71"/>
      <c r="G126" s="117"/>
      <c r="H126" s="71"/>
      <c r="I126" s="71"/>
      <c r="J126" s="71"/>
      <c r="K126" s="72"/>
      <c r="L126" s="118"/>
      <c r="M126" s="119"/>
    </row>
    <row r="127" spans="2:13" x14ac:dyDescent="0.25">
      <c r="B127" s="120" t="s">
        <v>101</v>
      </c>
      <c r="C127" s="121">
        <f>+C119+C125+C120</f>
        <v>2401726.1376157287</v>
      </c>
      <c r="D127" s="122">
        <f t="shared" ref="D127:K127" si="28">+D119+D125+D120</f>
        <v>2414359.65</v>
      </c>
      <c r="E127" s="123">
        <f t="shared" si="28"/>
        <v>2467603.9900000002</v>
      </c>
      <c r="F127" s="123">
        <f t="shared" si="28"/>
        <v>2479420.09</v>
      </c>
      <c r="G127" s="124">
        <f t="shared" si="28"/>
        <v>2517499.5100000002</v>
      </c>
      <c r="H127" s="124">
        <f t="shared" si="28"/>
        <v>2718336.3299999996</v>
      </c>
      <c r="I127" s="124">
        <f>+I119+I125+I120</f>
        <v>2590760.52</v>
      </c>
      <c r="J127" s="124">
        <f>+J119+J125+J120</f>
        <v>2754350.3200000003</v>
      </c>
      <c r="K127" s="125">
        <f t="shared" si="28"/>
        <v>163589.8000000004</v>
      </c>
      <c r="L127" s="126">
        <f>+K127/I127</f>
        <v>6.314354365721167E-2</v>
      </c>
      <c r="M127" s="119"/>
    </row>
    <row r="128" spans="2:13" x14ac:dyDescent="0.25">
      <c r="B128" s="127"/>
      <c r="C128" s="128"/>
      <c r="D128" s="129"/>
      <c r="E128" s="130"/>
      <c r="F128" s="130"/>
      <c r="G128" s="131"/>
      <c r="H128" s="131"/>
      <c r="I128" s="131"/>
      <c r="J128" s="131"/>
      <c r="K128" s="132"/>
      <c r="L128" s="118"/>
      <c r="M128" s="119"/>
    </row>
    <row r="129" spans="2:13" ht="18.75" hidden="1" outlineLevel="1" x14ac:dyDescent="0.3">
      <c r="B129" s="17" t="s">
        <v>108</v>
      </c>
      <c r="C129" s="133"/>
      <c r="D129" s="134"/>
      <c r="E129" s="19"/>
      <c r="F129" s="19"/>
      <c r="G129" s="135"/>
      <c r="H129" s="135"/>
      <c r="I129" s="135"/>
      <c r="J129" s="135"/>
      <c r="K129" s="20"/>
      <c r="L129" s="21"/>
      <c r="M129" s="22"/>
    </row>
    <row r="130" spans="2:13" hidden="1" outlineLevel="1" x14ac:dyDescent="0.25">
      <c r="B130" s="136" t="s">
        <v>109</v>
      </c>
      <c r="C130" s="137"/>
      <c r="D130" s="138"/>
      <c r="E130" s="139"/>
      <c r="F130" s="139">
        <f>300000+56000</f>
        <v>356000</v>
      </c>
      <c r="G130" s="140"/>
      <c r="H130" s="140"/>
      <c r="I130" s="140"/>
      <c r="J130" s="140"/>
      <c r="K130" s="141">
        <f t="shared" ref="K130:K141" si="29">+H130-G130</f>
        <v>0</v>
      </c>
      <c r="L130" s="142">
        <f t="shared" ref="L130:L137" si="30">+K130/F130</f>
        <v>0</v>
      </c>
      <c r="M130" s="143"/>
    </row>
    <row r="131" spans="2:13" hidden="1" outlineLevel="1" x14ac:dyDescent="0.25">
      <c r="B131" s="144" t="s">
        <v>110</v>
      </c>
      <c r="C131" s="137"/>
      <c r="D131" s="138"/>
      <c r="E131" s="139"/>
      <c r="F131" s="139">
        <v>100000</v>
      </c>
      <c r="G131" s="140"/>
      <c r="H131" s="140"/>
      <c r="I131" s="140"/>
      <c r="J131" s="140"/>
      <c r="K131" s="141">
        <f t="shared" si="29"/>
        <v>0</v>
      </c>
      <c r="L131" s="142">
        <f t="shared" si="30"/>
        <v>0</v>
      </c>
      <c r="M131" s="145"/>
    </row>
    <row r="132" spans="2:13" hidden="1" outlineLevel="1" x14ac:dyDescent="0.25">
      <c r="B132" s="144" t="s">
        <v>111</v>
      </c>
      <c r="C132" s="137"/>
      <c r="D132" s="138"/>
      <c r="E132" s="139"/>
      <c r="F132" s="139">
        <v>330000</v>
      </c>
      <c r="G132" s="140"/>
      <c r="H132" s="140"/>
      <c r="I132" s="140"/>
      <c r="J132" s="140"/>
      <c r="K132" s="141">
        <f t="shared" si="29"/>
        <v>0</v>
      </c>
      <c r="L132" s="142">
        <f t="shared" si="30"/>
        <v>0</v>
      </c>
      <c r="M132" s="145"/>
    </row>
    <row r="133" spans="2:13" hidden="1" outlineLevel="1" x14ac:dyDescent="0.25">
      <c r="B133" s="144" t="s">
        <v>112</v>
      </c>
      <c r="C133" s="137"/>
      <c r="D133" s="138"/>
      <c r="E133" s="139"/>
      <c r="F133" s="139">
        <v>185000</v>
      </c>
      <c r="G133" s="140"/>
      <c r="H133" s="140"/>
      <c r="I133" s="140"/>
      <c r="J133" s="140"/>
      <c r="K133" s="141">
        <f t="shared" si="29"/>
        <v>0</v>
      </c>
      <c r="L133" s="142">
        <f t="shared" si="30"/>
        <v>0</v>
      </c>
      <c r="M133" s="143"/>
    </row>
    <row r="134" spans="2:13" hidden="1" outlineLevel="1" x14ac:dyDescent="0.25">
      <c r="B134" s="144" t="s">
        <v>113</v>
      </c>
      <c r="C134" s="137">
        <v>3793910.97</v>
      </c>
      <c r="D134" s="138"/>
      <c r="E134" s="139"/>
      <c r="F134" s="139">
        <v>165500</v>
      </c>
      <c r="G134" s="140"/>
      <c r="H134" s="140"/>
      <c r="I134" s="140"/>
      <c r="J134" s="140"/>
      <c r="K134" s="141">
        <f t="shared" si="29"/>
        <v>0</v>
      </c>
      <c r="L134" s="142">
        <f t="shared" si="30"/>
        <v>0</v>
      </c>
      <c r="M134" s="143"/>
    </row>
    <row r="135" spans="2:13" hidden="1" outlineLevel="1" x14ac:dyDescent="0.25">
      <c r="B135" s="144" t="s">
        <v>114</v>
      </c>
      <c r="C135" s="137">
        <f>133417+47000</f>
        <v>180417</v>
      </c>
      <c r="D135" s="138"/>
      <c r="E135" s="139"/>
      <c r="F135" s="139">
        <v>98000</v>
      </c>
      <c r="G135" s="140"/>
      <c r="H135" s="140"/>
      <c r="I135" s="140"/>
      <c r="J135" s="140"/>
      <c r="K135" s="141">
        <f t="shared" si="29"/>
        <v>0</v>
      </c>
      <c r="L135" s="142">
        <f t="shared" si="30"/>
        <v>0</v>
      </c>
      <c r="M135" s="143"/>
    </row>
    <row r="136" spans="2:13" hidden="1" outlineLevel="1" x14ac:dyDescent="0.25">
      <c r="B136" s="136" t="s">
        <v>115</v>
      </c>
      <c r="C136" s="137"/>
      <c r="D136" s="138"/>
      <c r="E136" s="139"/>
      <c r="F136" s="139">
        <v>6000</v>
      </c>
      <c r="G136" s="140"/>
      <c r="H136" s="140"/>
      <c r="I136" s="140"/>
      <c r="J136" s="140"/>
      <c r="K136" s="141">
        <f t="shared" si="29"/>
        <v>0</v>
      </c>
      <c r="L136" s="142">
        <f t="shared" si="30"/>
        <v>0</v>
      </c>
      <c r="M136" s="143"/>
    </row>
    <row r="137" spans="2:13" hidden="1" outlineLevel="1" x14ac:dyDescent="0.25">
      <c r="B137" s="136" t="s">
        <v>116</v>
      </c>
      <c r="C137" s="137" t="e">
        <f>+#REF!</f>
        <v>#REF!</v>
      </c>
      <c r="D137" s="138"/>
      <c r="E137" s="139"/>
      <c r="F137" s="139">
        <v>40000</v>
      </c>
      <c r="G137" s="140"/>
      <c r="H137" s="140"/>
      <c r="I137" s="140"/>
      <c r="J137" s="140"/>
      <c r="K137" s="141">
        <f t="shared" si="29"/>
        <v>0</v>
      </c>
      <c r="L137" s="142">
        <f t="shared" si="30"/>
        <v>0</v>
      </c>
      <c r="M137" s="143"/>
    </row>
    <row r="138" spans="2:13" hidden="1" outlineLevel="2" x14ac:dyDescent="0.25">
      <c r="B138" s="146" t="s">
        <v>117</v>
      </c>
      <c r="C138" s="137"/>
      <c r="D138" s="138"/>
      <c r="E138" s="139"/>
      <c r="F138" s="139"/>
      <c r="G138" s="140"/>
      <c r="H138" s="140"/>
      <c r="I138" s="140"/>
      <c r="J138" s="140"/>
      <c r="K138" s="141">
        <f t="shared" si="29"/>
        <v>0</v>
      </c>
      <c r="L138" s="142"/>
      <c r="M138" s="143"/>
    </row>
    <row r="139" spans="2:13" hidden="1" outlineLevel="1" collapsed="1" x14ac:dyDescent="0.25">
      <c r="B139" s="146" t="s">
        <v>118</v>
      </c>
      <c r="C139" s="137"/>
      <c r="D139" s="138"/>
      <c r="E139" s="139"/>
      <c r="F139" s="139">
        <v>60000</v>
      </c>
      <c r="G139" s="140"/>
      <c r="H139" s="140"/>
      <c r="I139" s="140"/>
      <c r="J139" s="140"/>
      <c r="K139" s="141">
        <f t="shared" si="29"/>
        <v>0</v>
      </c>
      <c r="L139" s="142">
        <f>+K139/F139</f>
        <v>0</v>
      </c>
      <c r="M139" s="143"/>
    </row>
    <row r="140" spans="2:13" hidden="1" outlineLevel="1" x14ac:dyDescent="0.25">
      <c r="B140" s="146" t="s">
        <v>119</v>
      </c>
      <c r="C140" s="137"/>
      <c r="D140" s="138"/>
      <c r="E140" s="139"/>
      <c r="F140" s="139">
        <v>40000</v>
      </c>
      <c r="G140" s="140"/>
      <c r="H140" s="140"/>
      <c r="I140" s="140"/>
      <c r="J140" s="140"/>
      <c r="K140" s="141">
        <f t="shared" si="29"/>
        <v>0</v>
      </c>
      <c r="L140" s="142">
        <f>+K140/F140</f>
        <v>0</v>
      </c>
      <c r="M140" s="143"/>
    </row>
    <row r="141" spans="2:13" hidden="1" outlineLevel="1" x14ac:dyDescent="0.25">
      <c r="B141" s="147" t="s">
        <v>120</v>
      </c>
      <c r="C141" s="137"/>
      <c r="D141" s="138">
        <v>5032302.2300000004</v>
      </c>
      <c r="E141" s="139"/>
      <c r="F141" s="139">
        <v>409000</v>
      </c>
      <c r="G141" s="139"/>
      <c r="H141" s="139"/>
      <c r="I141" s="139"/>
      <c r="J141" s="139"/>
      <c r="K141" s="141">
        <f t="shared" si="29"/>
        <v>0</v>
      </c>
      <c r="L141" s="142">
        <f>+K141/F141</f>
        <v>0</v>
      </c>
      <c r="M141" s="143"/>
    </row>
    <row r="142" spans="2:13" hidden="1" outlineLevel="1" x14ac:dyDescent="0.25">
      <c r="B142" s="29" t="s">
        <v>121</v>
      </c>
      <c r="C142" s="105">
        <f>SUM(C141:C141)</f>
        <v>0</v>
      </c>
      <c r="D142" s="106">
        <f>SUM(D141:D141)</f>
        <v>5032302.2300000004</v>
      </c>
      <c r="E142" s="59">
        <f>SUM(E141:E141)</f>
        <v>0</v>
      </c>
      <c r="F142" s="59">
        <f t="shared" ref="F142:K142" si="31">SUM(F130:F141)</f>
        <v>1789500</v>
      </c>
      <c r="G142" s="107">
        <f t="shared" si="31"/>
        <v>0</v>
      </c>
      <c r="H142" s="107">
        <f t="shared" si="31"/>
        <v>0</v>
      </c>
      <c r="I142" s="107">
        <f t="shared" si="31"/>
        <v>0</v>
      </c>
      <c r="J142" s="107">
        <f t="shared" si="31"/>
        <v>0</v>
      </c>
      <c r="K142" s="57">
        <f t="shared" si="31"/>
        <v>0</v>
      </c>
      <c r="L142" s="108">
        <f>+K142/F142</f>
        <v>0</v>
      </c>
      <c r="M142" s="109"/>
    </row>
    <row r="143" spans="2:13" hidden="1" outlineLevel="1" x14ac:dyDescent="0.25">
      <c r="B143" s="29"/>
      <c r="C143" s="105"/>
      <c r="D143" s="106"/>
      <c r="E143" s="59"/>
      <c r="F143" s="59"/>
      <c r="G143" s="107"/>
      <c r="H143" s="107"/>
      <c r="I143" s="107"/>
      <c r="J143" s="107"/>
      <c r="K143" s="57"/>
      <c r="L143" s="108"/>
      <c r="M143" s="109"/>
    </row>
    <row r="144" spans="2:13" ht="18.75" hidden="1" outlineLevel="1" x14ac:dyDescent="0.3">
      <c r="B144" s="17" t="s">
        <v>122</v>
      </c>
      <c r="C144" s="133"/>
      <c r="D144" s="134"/>
      <c r="E144" s="19"/>
      <c r="F144" s="19"/>
      <c r="G144" s="135"/>
      <c r="H144" s="135"/>
      <c r="I144" s="135"/>
      <c r="J144" s="135"/>
      <c r="K144" s="20"/>
      <c r="L144" s="21"/>
      <c r="M144" s="109"/>
    </row>
    <row r="145" spans="2:13" hidden="1" outlineLevel="1" x14ac:dyDescent="0.25">
      <c r="B145" s="136" t="s">
        <v>123</v>
      </c>
      <c r="C145" s="137"/>
      <c r="D145" s="138"/>
      <c r="E145" s="139"/>
      <c r="F145" s="139">
        <v>1470000</v>
      </c>
      <c r="G145" s="140"/>
      <c r="H145" s="140"/>
      <c r="I145" s="140"/>
      <c r="J145" s="140"/>
      <c r="K145" s="141">
        <f t="shared" ref="K145:K150" si="32">+H145-G145</f>
        <v>0</v>
      </c>
      <c r="L145" s="148">
        <f>+K145/F145</f>
        <v>0</v>
      </c>
      <c r="M145" s="109"/>
    </row>
    <row r="146" spans="2:13" hidden="1" outlineLevel="1" x14ac:dyDescent="0.25">
      <c r="B146" s="136" t="s">
        <v>124</v>
      </c>
      <c r="C146" s="137"/>
      <c r="D146" s="138"/>
      <c r="E146" s="139"/>
      <c r="F146" s="139">
        <v>2220603</v>
      </c>
      <c r="G146" s="140"/>
      <c r="H146" s="140"/>
      <c r="I146" s="140"/>
      <c r="J146" s="140"/>
      <c r="K146" s="141">
        <f t="shared" si="32"/>
        <v>0</v>
      </c>
      <c r="L146" s="148">
        <f>+K146/F146</f>
        <v>0</v>
      </c>
      <c r="M146" s="109"/>
    </row>
    <row r="147" spans="2:13" hidden="1" outlineLevel="1" x14ac:dyDescent="0.25">
      <c r="B147" s="144" t="s">
        <v>125</v>
      </c>
      <c r="C147" s="137">
        <v>0</v>
      </c>
      <c r="D147" s="138"/>
      <c r="E147" s="139"/>
      <c r="F147" s="139">
        <v>740813</v>
      </c>
      <c r="G147" s="149"/>
      <c r="H147" s="149"/>
      <c r="I147" s="149"/>
      <c r="J147" s="149"/>
      <c r="K147" s="141">
        <f t="shared" si="32"/>
        <v>0</v>
      </c>
      <c r="L147" s="148">
        <f>+K147/F147</f>
        <v>0</v>
      </c>
      <c r="M147" s="109"/>
    </row>
    <row r="148" spans="2:13" hidden="1" outlineLevel="2" x14ac:dyDescent="0.25">
      <c r="B148" s="136" t="s">
        <v>126</v>
      </c>
      <c r="C148" s="137"/>
      <c r="D148" s="138"/>
      <c r="E148" s="139"/>
      <c r="F148" s="139"/>
      <c r="G148" s="140"/>
      <c r="H148" s="140"/>
      <c r="I148" s="140"/>
      <c r="J148" s="140"/>
      <c r="K148" s="141">
        <f t="shared" si="32"/>
        <v>0</v>
      </c>
      <c r="L148" s="148" t="e">
        <f>+K148/E148</f>
        <v>#DIV/0!</v>
      </c>
      <c r="M148" s="109"/>
    </row>
    <row r="149" spans="2:13" hidden="1" outlineLevel="1" x14ac:dyDescent="0.25">
      <c r="B149" s="136" t="s">
        <v>127</v>
      </c>
      <c r="C149" s="137"/>
      <c r="D149" s="138"/>
      <c r="E149" s="139"/>
      <c r="F149" s="139">
        <v>1874460</v>
      </c>
      <c r="G149" s="149"/>
      <c r="H149" s="149"/>
      <c r="I149" s="149"/>
      <c r="J149" s="149"/>
      <c r="K149" s="141">
        <f t="shared" si="32"/>
        <v>0</v>
      </c>
      <c r="L149" s="148">
        <f>+K149/F149</f>
        <v>0</v>
      </c>
      <c r="M149" s="109"/>
    </row>
    <row r="150" spans="2:13" hidden="1" outlineLevel="1" x14ac:dyDescent="0.25">
      <c r="B150" s="136" t="s">
        <v>128</v>
      </c>
      <c r="C150" s="137"/>
      <c r="D150" s="138"/>
      <c r="E150" s="139"/>
      <c r="F150" s="139">
        <v>88110.660000000105</v>
      </c>
      <c r="G150" s="140"/>
      <c r="H150" s="140"/>
      <c r="I150" s="140"/>
      <c r="J150" s="140"/>
      <c r="K150" s="141">
        <f t="shared" si="32"/>
        <v>0</v>
      </c>
      <c r="L150" s="148">
        <f>+K150/F150</f>
        <v>0</v>
      </c>
      <c r="M150" s="109"/>
    </row>
    <row r="151" spans="2:13" hidden="1" outlineLevel="1" x14ac:dyDescent="0.25">
      <c r="B151" s="29" t="s">
        <v>129</v>
      </c>
      <c r="C151" s="105" t="e">
        <f>SUM(#REF!)</f>
        <v>#REF!</v>
      </c>
      <c r="D151" s="106" t="e">
        <f>SUM(#REF!)</f>
        <v>#REF!</v>
      </c>
      <c r="E151" s="139">
        <f t="shared" ref="E151:K151" si="33">SUM(E145:E150)</f>
        <v>0</v>
      </c>
      <c r="F151" s="59">
        <f t="shared" si="33"/>
        <v>6393986.6600000001</v>
      </c>
      <c r="G151" s="107">
        <f t="shared" si="33"/>
        <v>0</v>
      </c>
      <c r="H151" s="107">
        <f t="shared" si="33"/>
        <v>0</v>
      </c>
      <c r="I151" s="107">
        <f t="shared" si="33"/>
        <v>0</v>
      </c>
      <c r="J151" s="107">
        <f t="shared" si="33"/>
        <v>0</v>
      </c>
      <c r="K151" s="57">
        <f t="shared" si="33"/>
        <v>0</v>
      </c>
      <c r="L151" s="108">
        <f>+K151/F151</f>
        <v>0</v>
      </c>
      <c r="M151" s="109"/>
    </row>
    <row r="152" spans="2:13" hidden="1" outlineLevel="1" x14ac:dyDescent="0.25">
      <c r="B152" s="29"/>
      <c r="C152" s="105"/>
      <c r="D152" s="106"/>
      <c r="E152" s="139"/>
      <c r="F152" s="59"/>
      <c r="G152" s="107"/>
      <c r="H152" s="107"/>
      <c r="I152" s="107"/>
      <c r="J152" s="107"/>
      <c r="K152" s="57"/>
      <c r="L152" s="108"/>
      <c r="M152" s="109"/>
    </row>
    <row r="153" spans="2:13" ht="15.6" customHeight="1" collapsed="1" x14ac:dyDescent="0.25">
      <c r="B153" s="120" t="s">
        <v>130</v>
      </c>
      <c r="C153" s="150"/>
      <c r="D153" s="151"/>
      <c r="E153" s="152">
        <v>3156000</v>
      </c>
      <c r="F153" s="152">
        <v>3208000</v>
      </c>
      <c r="G153" s="153">
        <v>3515000</v>
      </c>
      <c r="H153" s="153">
        <v>3515000</v>
      </c>
      <c r="I153" s="153">
        <v>3515000</v>
      </c>
      <c r="J153" s="153">
        <v>3515000</v>
      </c>
      <c r="K153" s="125">
        <f>+J153-I153</f>
        <v>0</v>
      </c>
      <c r="L153" s="126">
        <f>+K153/I153</f>
        <v>0</v>
      </c>
      <c r="M153" s="47"/>
    </row>
    <row r="154" spans="2:13" ht="15.6" customHeight="1" x14ac:dyDescent="0.25">
      <c r="B154" s="136"/>
      <c r="C154" s="137"/>
      <c r="D154" s="138"/>
      <c r="E154" s="139"/>
      <c r="F154" s="139"/>
      <c r="G154" s="140"/>
      <c r="H154" s="140"/>
      <c r="I154" s="140"/>
      <c r="J154" s="140"/>
      <c r="K154" s="141"/>
      <c r="L154" s="142"/>
      <c r="M154" s="47"/>
    </row>
    <row r="155" spans="2:13" x14ac:dyDescent="0.25">
      <c r="B155" s="120" t="s">
        <v>131</v>
      </c>
      <c r="C155" s="150" t="e">
        <f>SUM(C134:C141)</f>
        <v>#REF!</v>
      </c>
      <c r="D155" s="151" t="e">
        <f>+D142+#REF!</f>
        <v>#REF!</v>
      </c>
      <c r="E155" s="152">
        <v>10155149.09</v>
      </c>
      <c r="F155" s="152">
        <f>+F142+F151</f>
        <v>8183486.6600000001</v>
      </c>
      <c r="G155" s="153">
        <f>+G108-G127-G153</f>
        <v>8353844.0500000007</v>
      </c>
      <c r="H155" s="153">
        <f>+H108-H127-H153</f>
        <v>9177574.1300000008</v>
      </c>
      <c r="I155" s="153">
        <f>+I108-I127-I153</f>
        <v>9375144.9800000004</v>
      </c>
      <c r="J155" s="153">
        <f>+J108-J127-J153</f>
        <v>10404643.721126761</v>
      </c>
      <c r="K155" s="125">
        <f>+J155-I155</f>
        <v>1029498.7411267608</v>
      </c>
      <c r="L155" s="126">
        <f>+K155/I155</f>
        <v>0.10981150086990557</v>
      </c>
      <c r="M155" s="154"/>
    </row>
    <row r="156" spans="2:13" x14ac:dyDescent="0.25">
      <c r="B156" s="155"/>
      <c r="C156" s="156"/>
      <c r="D156" s="155"/>
      <c r="E156" s="157"/>
      <c r="F156" s="157"/>
      <c r="G156" s="158"/>
      <c r="H156" s="158"/>
      <c r="I156" s="158"/>
      <c r="J156" s="158"/>
      <c r="K156" s="159"/>
      <c r="L156" s="118"/>
      <c r="M156" s="154"/>
    </row>
    <row r="157" spans="2:13" ht="16.5" thickBot="1" x14ac:dyDescent="0.3">
      <c r="B157" s="73" t="s">
        <v>132</v>
      </c>
      <c r="C157" s="74" t="e">
        <f>+C127+C155</f>
        <v>#REF!</v>
      </c>
      <c r="D157" s="74" t="e">
        <f>+D127+D155</f>
        <v>#REF!</v>
      </c>
      <c r="E157" s="74">
        <f>+E127+E155</f>
        <v>12622753.08</v>
      </c>
      <c r="F157" s="74">
        <f>+F127+F155+F153</f>
        <v>13870906.75</v>
      </c>
      <c r="G157" s="160">
        <f>+G127+G155+G153</f>
        <v>14386343.560000001</v>
      </c>
      <c r="H157" s="160">
        <f>+H127+H155+H153</f>
        <v>15410910.460000001</v>
      </c>
      <c r="I157" s="160">
        <f>+I127+I155+I153</f>
        <v>15480905.5</v>
      </c>
      <c r="J157" s="160">
        <f>+J127+J155+J153</f>
        <v>16673994.041126762</v>
      </c>
      <c r="K157" s="161">
        <f>+J157-I157</f>
        <v>1193088.5411267616</v>
      </c>
      <c r="L157" s="162">
        <f>+K157/I157</f>
        <v>7.7068395070738052E-2</v>
      </c>
      <c r="M157" s="154"/>
    </row>
    <row r="158" spans="2:13" ht="16.5" thickTop="1" x14ac:dyDescent="0.25">
      <c r="B158" s="146"/>
    </row>
  </sheetData>
  <mergeCells count="4">
    <mergeCell ref="B5:L5"/>
    <mergeCell ref="B7:L7"/>
    <mergeCell ref="B112:L112"/>
    <mergeCell ref="B114:L11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81" min="1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2" ma:contentTypeDescription="Crear nuevo documento." ma:contentTypeScope="" ma:versionID="7beb4c5d2c9240e817df27f2b5a02f87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fb5ad23552bcb31afc653fc75a33441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9552F2-E08A-4220-9F2A-A766D0C284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0BA7C2-64B1-4359-8739-06273425D3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7F57E-EDC5-4F51-BAC9-150A7E3B3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2020</vt:lpstr>
      <vt:lpstr>'presupuesto 2020'!Área_de_impresión</vt:lpstr>
      <vt:lpstr>'presupuesto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Miguel Matz Falero</dc:creator>
  <cp:lastModifiedBy>Manuela Rabaneda Cárdenas</cp:lastModifiedBy>
  <cp:lastPrinted>2022-06-10T09:35:31Z</cp:lastPrinted>
  <dcterms:created xsi:type="dcterms:W3CDTF">2022-06-10T08:17:57Z</dcterms:created>
  <dcterms:modified xsi:type="dcterms:W3CDTF">2022-06-10T10:05:22Z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</Properties>
</file>